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ava\Documents\AÑO 2024\"/>
    </mc:Choice>
  </mc:AlternateContent>
  <bookViews>
    <workbookView xWindow="0" yWindow="0" windowWidth="28800" windowHeight="1158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K17" i="1" l="1"/>
  <c r="FK26" i="1" s="1"/>
  <c r="FJ17" i="1"/>
  <c r="FJ26" i="1" s="1"/>
  <c r="FH17" i="1"/>
  <c r="FH25" i="1" s="1"/>
  <c r="FG17" i="1"/>
  <c r="FG26" i="1" s="1"/>
  <c r="FF17" i="1"/>
  <c r="FF26" i="1" s="1"/>
  <c r="FK14" i="1"/>
  <c r="FI14" i="1"/>
  <c r="FH14" i="1"/>
  <c r="FG14" i="1"/>
  <c r="FF14" i="1"/>
  <c r="FK13" i="1"/>
  <c r="FK24" i="1" s="1"/>
  <c r="FJ13" i="1"/>
  <c r="FJ24" i="1" s="1"/>
  <c r="FI13" i="1"/>
  <c r="FH13" i="1"/>
  <c r="FH24" i="1" s="1"/>
  <c r="FG13" i="1"/>
  <c r="FG24" i="1" s="1"/>
  <c r="FF13" i="1"/>
  <c r="FF24" i="1" s="1"/>
  <c r="FI12" i="1"/>
  <c r="FI17" i="1" s="1"/>
  <c r="FK11" i="1"/>
  <c r="FK22" i="1" s="1"/>
  <c r="FJ11" i="1"/>
  <c r="FJ22" i="1" s="1"/>
  <c r="FI11" i="1"/>
  <c r="FI22" i="1" s="1"/>
  <c r="FH11" i="1"/>
  <c r="FH22" i="1" s="1"/>
  <c r="FG11" i="1"/>
  <c r="FG22" i="1" s="1"/>
  <c r="FF11" i="1"/>
  <c r="FF22" i="1" s="1"/>
  <c r="FF8" i="1"/>
  <c r="FG8" i="1" s="1"/>
  <c r="FH8" i="1" s="1"/>
  <c r="FI8" i="1" s="1"/>
  <c r="FJ8" i="1" s="1"/>
  <c r="FK8" i="1" s="1"/>
  <c r="FI27" i="1" l="1"/>
  <c r="FI26" i="1"/>
  <c r="FI25" i="1"/>
  <c r="FI24" i="1"/>
  <c r="FI28" i="1" s="1"/>
  <c r="FG25" i="1"/>
  <c r="FG27" i="1"/>
  <c r="FI23" i="1"/>
  <c r="FJ25" i="1"/>
  <c r="FF27" i="1"/>
  <c r="FJ27" i="1"/>
  <c r="FK23" i="1"/>
  <c r="FH26" i="1"/>
  <c r="FF25" i="1"/>
  <c r="FH27" i="1"/>
  <c r="FJ23" i="1"/>
  <c r="FJ28" i="1" s="1"/>
  <c r="FG23" i="1"/>
  <c r="FG28" i="1" s="1"/>
  <c r="FH23" i="1"/>
  <c r="FH28" i="1" s="1"/>
  <c r="FK27" i="1"/>
  <c r="FK28" i="1" s="1"/>
  <c r="FF23" i="1"/>
  <c r="FF28" i="1" s="1"/>
  <c r="FK25" i="1"/>
  <c r="FD17" i="1" l="1"/>
  <c r="FD24" i="1" s="1"/>
  <c r="FC17" i="1"/>
  <c r="FC22" i="1" s="1"/>
  <c r="FE14" i="1"/>
  <c r="FE17" i="1" s="1"/>
  <c r="FD14" i="1"/>
  <c r="FE11" i="1"/>
  <c r="FD11" i="1"/>
  <c r="FC11" i="1"/>
  <c r="FD8" i="1"/>
  <c r="FE8" i="1" s="1"/>
  <c r="FE24" i="1" l="1"/>
  <c r="FE27" i="1"/>
  <c r="FE23" i="1"/>
  <c r="FE22" i="1"/>
  <c r="FE26" i="1"/>
  <c r="FC25" i="1"/>
  <c r="FD25" i="1"/>
  <c r="FE25" i="1"/>
  <c r="FC26" i="1"/>
  <c r="FC23" i="1"/>
  <c r="FC28" i="1" s="1"/>
  <c r="FC27" i="1"/>
  <c r="FC24" i="1"/>
  <c r="FD22" i="1"/>
  <c r="FD26" i="1"/>
  <c r="FD23" i="1"/>
  <c r="FD27" i="1"/>
  <c r="FB17" i="1"/>
  <c r="FB26" i="1" s="1"/>
  <c r="FA17" i="1"/>
  <c r="FA23" i="1" s="1"/>
  <c r="EZ17" i="1"/>
  <c r="EZ27" i="1" s="1"/>
  <c r="FB14" i="1"/>
  <c r="FA14" i="1"/>
  <c r="EZ14" i="1"/>
  <c r="FB13" i="1"/>
  <c r="FB24" i="1" s="1"/>
  <c r="FA13" i="1"/>
  <c r="FA24" i="1" s="1"/>
  <c r="EZ13" i="1"/>
  <c r="EZ24" i="1" s="1"/>
  <c r="FB12" i="1"/>
  <c r="FB23" i="1" s="1"/>
  <c r="EZ12" i="1"/>
  <c r="EZ23" i="1" s="1"/>
  <c r="FB11" i="1"/>
  <c r="FB22" i="1" s="1"/>
  <c r="FA11" i="1"/>
  <c r="FA22" i="1" s="1"/>
  <c r="EZ11" i="1"/>
  <c r="EZ22" i="1" s="1"/>
  <c r="EZ8" i="1"/>
  <c r="FA8" i="1" s="1"/>
  <c r="FB8" i="1" s="1"/>
  <c r="FE28" i="1" l="1"/>
  <c r="FD28" i="1"/>
  <c r="FB25" i="1"/>
  <c r="FB28" i="1" s="1"/>
  <c r="FA27" i="1"/>
  <c r="EZ25" i="1"/>
  <c r="EZ28" i="1" s="1"/>
  <c r="FA25" i="1"/>
  <c r="FA28" i="1" s="1"/>
  <c r="EZ26" i="1"/>
  <c r="FB27" i="1"/>
  <c r="FA26" i="1"/>
  <c r="EW17" i="1"/>
  <c r="EW23" i="1" s="1"/>
  <c r="EV17" i="1"/>
  <c r="EV27" i="1" s="1"/>
  <c r="EU17" i="1"/>
  <c r="EU26" i="1" s="1"/>
  <c r="ET17" i="1"/>
  <c r="ET26" i="1" s="1"/>
  <c r="EY14" i="1"/>
  <c r="EX14" i="1"/>
  <c r="EV14" i="1"/>
  <c r="ET14" i="1"/>
  <c r="EY13" i="1"/>
  <c r="EX13" i="1"/>
  <c r="EW13" i="1"/>
  <c r="EW24" i="1" s="1"/>
  <c r="EV13" i="1"/>
  <c r="EV24" i="1" s="1"/>
  <c r="EU13" i="1"/>
  <c r="EU24" i="1" s="1"/>
  <c r="ET13" i="1"/>
  <c r="ET24" i="1" s="1"/>
  <c r="EY12" i="1"/>
  <c r="EX12" i="1"/>
  <c r="EW12" i="1"/>
  <c r="EV12" i="1"/>
  <c r="EU12" i="1"/>
  <c r="ET12" i="1"/>
  <c r="EY11" i="1"/>
  <c r="EX11" i="1"/>
  <c r="EV11" i="1"/>
  <c r="EV22" i="1" s="1"/>
  <c r="EU11" i="1"/>
  <c r="EU22" i="1" s="1"/>
  <c r="ET11" i="1"/>
  <c r="ET22" i="1" s="1"/>
  <c r="ET8" i="1"/>
  <c r="EU8" i="1" s="1"/>
  <c r="EV8" i="1" s="1"/>
  <c r="EW8" i="1" s="1"/>
  <c r="EX8" i="1" s="1"/>
  <c r="EY8" i="1" s="1"/>
  <c r="EX23" i="1" l="1"/>
  <c r="ET28" i="1"/>
  <c r="EU25" i="1"/>
  <c r="EW27" i="1"/>
  <c r="EY17" i="1"/>
  <c r="EV26" i="1"/>
  <c r="ET23" i="1"/>
  <c r="ET25" i="1"/>
  <c r="EV25" i="1"/>
  <c r="EX17" i="1"/>
  <c r="EX24" i="1" s="1"/>
  <c r="EW22" i="1"/>
  <c r="EW26" i="1"/>
  <c r="ET27" i="1"/>
  <c r="EU23" i="1"/>
  <c r="EU28" i="1" s="1"/>
  <c r="EU27" i="1"/>
  <c r="EV23" i="1"/>
  <c r="EV28" i="1" s="1"/>
  <c r="EW25" i="1"/>
  <c r="EY26" i="1" l="1"/>
  <c r="EY25" i="1"/>
  <c r="EY27" i="1"/>
  <c r="EY23" i="1"/>
  <c r="EW28" i="1"/>
  <c r="EY22" i="1"/>
  <c r="EX27" i="1"/>
  <c r="EX26" i="1"/>
  <c r="EX25" i="1"/>
  <c r="EY24" i="1"/>
  <c r="EX22" i="1"/>
  <c r="EX28" i="1" s="1"/>
  <c r="EY28" i="1" l="1"/>
  <c r="ER17" i="1" l="1"/>
  <c r="ER27" i="1" s="1"/>
  <c r="ES17" i="1"/>
  <c r="EQ17" i="1"/>
  <c r="ES26" i="1"/>
  <c r="ES14" i="1"/>
  <c r="ER14" i="1"/>
  <c r="EQ14" i="1"/>
  <c r="ES13" i="1"/>
  <c r="ER13" i="1"/>
  <c r="EQ13" i="1"/>
  <c r="ES12" i="1"/>
  <c r="ER12" i="1"/>
  <c r="ER23" i="1" s="1"/>
  <c r="EQ12" i="1"/>
  <c r="ES11" i="1"/>
  <c r="ES22" i="1" s="1"/>
  <c r="ER11" i="1"/>
  <c r="ER22" i="1" s="1"/>
  <c r="EQ11" i="1"/>
  <c r="ER8" i="1"/>
  <c r="ES8" i="1" s="1"/>
  <c r="ES23" i="1" l="1"/>
  <c r="ER24" i="1"/>
  <c r="ES24" i="1"/>
  <c r="ES27" i="1"/>
  <c r="ER25" i="1"/>
  <c r="ER26" i="1"/>
  <c r="ES25" i="1"/>
  <c r="ES28" i="1" l="1"/>
  <c r="ER28" i="1"/>
  <c r="EQ26" i="1"/>
  <c r="EQ25" i="1"/>
  <c r="EQ27" i="1"/>
  <c r="EQ23" i="1"/>
  <c r="EQ22" i="1"/>
  <c r="EQ24" i="1"/>
  <c r="EQ28" i="1" l="1"/>
  <c r="EP14" i="1" l="1"/>
  <c r="EO14" i="1"/>
  <c r="EN14" i="1"/>
  <c r="EP13" i="1"/>
  <c r="EO13" i="1"/>
  <c r="EN13" i="1"/>
  <c r="EP12" i="1"/>
  <c r="EO12" i="1"/>
  <c r="EN12" i="1"/>
  <c r="EP11" i="1"/>
  <c r="EO11" i="1"/>
  <c r="EN11" i="1"/>
  <c r="EN17" i="1" s="1"/>
  <c r="EN8" i="1"/>
  <c r="EO8" i="1" s="1"/>
  <c r="EP8" i="1" s="1"/>
  <c r="EN27" i="1" l="1"/>
  <c r="EN26" i="1"/>
  <c r="EN25" i="1"/>
  <c r="EN23" i="1"/>
  <c r="EO23" i="1"/>
  <c r="EN24" i="1"/>
  <c r="EO24" i="1"/>
  <c r="EP17" i="1"/>
  <c r="EN22" i="1"/>
  <c r="EO17" i="1"/>
  <c r="EP26" i="1" l="1"/>
  <c r="EP27" i="1"/>
  <c r="EP24" i="1"/>
  <c r="EP25" i="1"/>
  <c r="EP23" i="1"/>
  <c r="EP22" i="1"/>
  <c r="EP28" i="1" s="1"/>
  <c r="EO27" i="1"/>
  <c r="EO26" i="1"/>
  <c r="EO25" i="1"/>
  <c r="EN28" i="1"/>
  <c r="EO22" i="1"/>
  <c r="EO28" i="1" s="1"/>
  <c r="EL17" i="1" l="1"/>
  <c r="EL26" i="1" s="1"/>
  <c r="EI17" i="1"/>
  <c r="EI23" i="1" s="1"/>
  <c r="EH17" i="1"/>
  <c r="EH25" i="1" s="1"/>
  <c r="EM14" i="1"/>
  <c r="EL14" i="1"/>
  <c r="EK14" i="1"/>
  <c r="EJ14" i="1"/>
  <c r="EI14" i="1"/>
  <c r="EH14" i="1"/>
  <c r="EM13" i="1"/>
  <c r="EL13" i="1"/>
  <c r="EL24" i="1" s="1"/>
  <c r="EK13" i="1"/>
  <c r="EJ13" i="1"/>
  <c r="EI13" i="1"/>
  <c r="EI24" i="1" s="1"/>
  <c r="EH13" i="1"/>
  <c r="EH24" i="1" s="1"/>
  <c r="EL12" i="1"/>
  <c r="EK12" i="1"/>
  <c r="EJ12" i="1"/>
  <c r="EI12" i="1"/>
  <c r="EH12" i="1"/>
  <c r="EM11" i="1"/>
  <c r="EL11" i="1"/>
  <c r="EL22" i="1" s="1"/>
  <c r="EK11" i="1"/>
  <c r="EJ11" i="1"/>
  <c r="EI11" i="1"/>
  <c r="EI22" i="1" s="1"/>
  <c r="EH11" i="1"/>
  <c r="EH22" i="1" s="1"/>
  <c r="EH8" i="1"/>
  <c r="EI8" i="1" s="1"/>
  <c r="EJ8" i="1" s="1"/>
  <c r="EK8" i="1" s="1"/>
  <c r="EL8" i="1" s="1"/>
  <c r="EM8" i="1" s="1"/>
  <c r="EM22" i="1" l="1"/>
  <c r="EM25" i="1"/>
  <c r="EH28" i="1"/>
  <c r="EJ24" i="1"/>
  <c r="EL27" i="1"/>
  <c r="EL28" i="1" s="1"/>
  <c r="EI25" i="1"/>
  <c r="EI28" i="1" s="1"/>
  <c r="EL23" i="1"/>
  <c r="EM17" i="1"/>
  <c r="EH23" i="1"/>
  <c r="EH27" i="1"/>
  <c r="EL25" i="1"/>
  <c r="EH26" i="1"/>
  <c r="EI26" i="1"/>
  <c r="EJ17" i="1"/>
  <c r="EI27" i="1"/>
  <c r="EK17" i="1"/>
  <c r="EK25" i="1" l="1"/>
  <c r="EK26" i="1"/>
  <c r="EK27" i="1"/>
  <c r="EK23" i="1"/>
  <c r="EJ25" i="1"/>
  <c r="EJ26" i="1"/>
  <c r="EJ23" i="1"/>
  <c r="EJ27" i="1"/>
  <c r="EM26" i="1"/>
  <c r="EM27" i="1"/>
  <c r="EM23" i="1"/>
  <c r="EM28" i="1" s="1"/>
  <c r="EM24" i="1"/>
  <c r="EK24" i="1"/>
  <c r="EJ22" i="1"/>
  <c r="EK22" i="1"/>
  <c r="EK28" i="1" s="1"/>
  <c r="EJ28" i="1" l="1"/>
  <c r="EG14" i="1" l="1"/>
  <c r="EE14" i="1"/>
  <c r="EG13" i="1"/>
  <c r="EF13" i="1"/>
  <c r="EF24" i="1" s="1"/>
  <c r="EE13" i="1"/>
  <c r="EG12" i="1"/>
  <c r="EF12" i="1"/>
  <c r="EG11" i="1"/>
  <c r="EG17" i="1" s="1"/>
  <c r="EF11" i="1"/>
  <c r="EF17" i="1" s="1"/>
  <c r="EG8" i="1"/>
  <c r="EF8" i="1"/>
  <c r="EG24" i="1" l="1"/>
  <c r="EG26" i="1"/>
  <c r="EG27" i="1"/>
  <c r="EG23" i="1"/>
  <c r="EF27" i="1"/>
  <c r="EF23" i="1"/>
  <c r="EF26" i="1"/>
  <c r="EF25" i="1"/>
  <c r="EG25" i="1"/>
  <c r="EE17" i="1"/>
  <c r="EF22" i="1"/>
  <c r="EF28" i="1" s="1"/>
  <c r="EG22" i="1"/>
  <c r="EE26" i="1" l="1"/>
  <c r="EE22" i="1"/>
  <c r="EE27" i="1"/>
  <c r="EE23" i="1"/>
  <c r="EE25" i="1"/>
  <c r="EG28" i="1"/>
  <c r="EE24" i="1"/>
  <c r="EE28" i="1" l="1"/>
  <c r="EB15" i="1" l="1"/>
  <c r="ED14" i="1"/>
  <c r="EC14" i="1"/>
  <c r="EB14" i="1"/>
  <c r="DZ14" i="1"/>
  <c r="DY14" i="1"/>
  <c r="ED13" i="1"/>
  <c r="EC13" i="1"/>
  <c r="EB13" i="1"/>
  <c r="EA13" i="1"/>
  <c r="DZ13" i="1"/>
  <c r="DY13" i="1"/>
  <c r="ED12" i="1"/>
  <c r="EC12" i="1"/>
  <c r="EB12" i="1"/>
  <c r="EA12" i="1"/>
  <c r="EA23" i="1" s="1"/>
  <c r="DZ12" i="1"/>
  <c r="DY12" i="1"/>
  <c r="ED11" i="1"/>
  <c r="EC11" i="1"/>
  <c r="EC17" i="1" s="1"/>
  <c r="EB11" i="1"/>
  <c r="EB17" i="1" s="1"/>
  <c r="EA11" i="1"/>
  <c r="EA17" i="1" s="1"/>
  <c r="DZ11" i="1"/>
  <c r="DY11" i="1"/>
  <c r="DY8" i="1"/>
  <c r="DZ8" i="1" s="1"/>
  <c r="EA8" i="1" s="1"/>
  <c r="EB8" i="1" s="1"/>
  <c r="EC8" i="1" s="1"/>
  <c r="ED8" i="1" s="1"/>
  <c r="EB27" i="1" l="1"/>
  <c r="EB26" i="1"/>
  <c r="EB24" i="1"/>
  <c r="EB22" i="1"/>
  <c r="EC27" i="1"/>
  <c r="EC25" i="1"/>
  <c r="EC23" i="1"/>
  <c r="EC26" i="1"/>
  <c r="EC24" i="1"/>
  <c r="EB25" i="1"/>
  <c r="EB23" i="1"/>
  <c r="EA26" i="1"/>
  <c r="EA22" i="1"/>
  <c r="EA27" i="1"/>
  <c r="EA25" i="1"/>
  <c r="EA24" i="1"/>
  <c r="DY17" i="1"/>
  <c r="DZ17" i="1"/>
  <c r="EC22" i="1"/>
  <c r="ED17" i="1"/>
  <c r="DZ26" i="1" l="1"/>
  <c r="DZ27" i="1"/>
  <c r="DZ25" i="1"/>
  <c r="DZ23" i="1"/>
  <c r="DZ24" i="1"/>
  <c r="EB28" i="1"/>
  <c r="DY27" i="1"/>
  <c r="DY25" i="1"/>
  <c r="DY26" i="1"/>
  <c r="DY23" i="1"/>
  <c r="EA28" i="1"/>
  <c r="ED26" i="1"/>
  <c r="ED27" i="1"/>
  <c r="ED25" i="1"/>
  <c r="ED23" i="1"/>
  <c r="ED22" i="1"/>
  <c r="ED28" i="1" s="1"/>
  <c r="DY24" i="1"/>
  <c r="EC28" i="1"/>
  <c r="ED24" i="1"/>
  <c r="DZ22" i="1"/>
  <c r="DZ28" i="1" s="1"/>
  <c r="DY22" i="1"/>
  <c r="DY28" i="1" l="1"/>
  <c r="DX27" i="1" l="1"/>
  <c r="DW27" i="1"/>
  <c r="DV27" i="1"/>
  <c r="DU27" i="1"/>
  <c r="DT27" i="1"/>
  <c r="DS27" i="1"/>
  <c r="DX26" i="1"/>
  <c r="DW26" i="1"/>
  <c r="DV26" i="1"/>
  <c r="DU26" i="1"/>
  <c r="DT26" i="1"/>
  <c r="DS26" i="1"/>
  <c r="DX25" i="1"/>
  <c r="DW25" i="1"/>
  <c r="DV25" i="1"/>
  <c r="DU25" i="1"/>
  <c r="DT25" i="1"/>
  <c r="DS25" i="1"/>
  <c r="DX24" i="1"/>
  <c r="DW24" i="1"/>
  <c r="DV24" i="1"/>
  <c r="DU24" i="1"/>
  <c r="DT24" i="1"/>
  <c r="DS24" i="1"/>
  <c r="DX23" i="1"/>
  <c r="DW23" i="1"/>
  <c r="DV23" i="1"/>
  <c r="DU23" i="1"/>
  <c r="DT23" i="1"/>
  <c r="DS23" i="1"/>
  <c r="DX22" i="1"/>
  <c r="DW22" i="1"/>
  <c r="DV22" i="1"/>
  <c r="DU22" i="1"/>
  <c r="DT22" i="1"/>
  <c r="DS22" i="1"/>
  <c r="DX14" i="1"/>
  <c r="DW14" i="1"/>
  <c r="DV14" i="1"/>
  <c r="DU14" i="1"/>
  <c r="DT14" i="1"/>
  <c r="DX13" i="1"/>
  <c r="DW13" i="1"/>
  <c r="DV13" i="1"/>
  <c r="DU13" i="1"/>
  <c r="DT13" i="1"/>
  <c r="DS13" i="1"/>
  <c r="DX12" i="1"/>
  <c r="DW12" i="1"/>
  <c r="DV12" i="1"/>
  <c r="DU12" i="1"/>
  <c r="DT12" i="1"/>
  <c r="DS12" i="1"/>
  <c r="DX11" i="1"/>
  <c r="DW11" i="1"/>
  <c r="DV11" i="1"/>
  <c r="DU11" i="1"/>
  <c r="DT11" i="1"/>
  <c r="DS11" i="1"/>
  <c r="DX17" i="1" l="1"/>
  <c r="DW17" i="1"/>
  <c r="DV17" i="1"/>
  <c r="DU17" i="1"/>
  <c r="DT17" i="1"/>
  <c r="DS17" i="1" l="1"/>
  <c r="DU28" i="1"/>
  <c r="DV28" i="1"/>
  <c r="DW28" i="1"/>
  <c r="DR14" i="1"/>
  <c r="DP14" i="1"/>
  <c r="DR13" i="1"/>
  <c r="DQ13" i="1"/>
  <c r="DQ24" i="1" s="1"/>
  <c r="DP13" i="1"/>
  <c r="DP17" i="1" s="1"/>
  <c r="DR12" i="1"/>
  <c r="DQ12" i="1"/>
  <c r="DQ17" i="1" s="1"/>
  <c r="DR11" i="1"/>
  <c r="DR17" i="1" s="1"/>
  <c r="DP8" i="1"/>
  <c r="DQ8" i="1" s="1"/>
  <c r="DR8" i="1" s="1"/>
  <c r="DX28" i="1" l="1"/>
  <c r="DT28" i="1"/>
  <c r="DR24" i="1"/>
  <c r="DR26" i="1"/>
  <c r="DR27" i="1"/>
  <c r="DR23" i="1"/>
  <c r="DQ26" i="1"/>
  <c r="DQ27" i="1"/>
  <c r="DQ25" i="1"/>
  <c r="DQ22" i="1"/>
  <c r="DQ23" i="1"/>
  <c r="DP27" i="1"/>
  <c r="DP23" i="1"/>
  <c r="DP25" i="1"/>
  <c r="DP22" i="1"/>
  <c r="DP26" i="1"/>
  <c r="DR25" i="1"/>
  <c r="DR22" i="1"/>
  <c r="DP24" i="1"/>
  <c r="DS28" i="1" l="1"/>
  <c r="DP28" i="1"/>
  <c r="DR28" i="1"/>
  <c r="DQ28" i="1"/>
  <c r="C28" i="1" l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I28" i="1" s="1"/>
  <c r="DJ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J28" i="1" s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K28" i="1"/>
  <c r="DL28" i="1"/>
  <c r="DM28" i="1"/>
  <c r="DN28" i="1"/>
  <c r="DO28" i="1"/>
  <c r="DO27" i="1"/>
  <c r="DL22" i="1"/>
  <c r="DO23" i="1"/>
  <c r="DJ17" i="1"/>
  <c r="DK17" i="1"/>
  <c r="DK23" i="1" s="1"/>
  <c r="DL17" i="1"/>
  <c r="DL24" i="1" s="1"/>
  <c r="DM17" i="1"/>
  <c r="DM26" i="1" s="1"/>
  <c r="DN17" i="1"/>
  <c r="DN25" i="1" s="1"/>
  <c r="DO17" i="1"/>
  <c r="DO24" i="1" s="1"/>
  <c r="DM25" i="1" l="1"/>
  <c r="DM23" i="1"/>
  <c r="DM27" i="1"/>
  <c r="DM24" i="1"/>
  <c r="DM22" i="1"/>
  <c r="DO26" i="1"/>
  <c r="DO25" i="1"/>
  <c r="DO22" i="1"/>
  <c r="DN26" i="1"/>
  <c r="DN22" i="1"/>
  <c r="DN27" i="1"/>
  <c r="DN24" i="1"/>
  <c r="DN23" i="1"/>
  <c r="DK22" i="1"/>
  <c r="DK27" i="1"/>
  <c r="DK26" i="1"/>
  <c r="DK25" i="1"/>
  <c r="DK24" i="1"/>
  <c r="DL23" i="1"/>
  <c r="DJ22" i="1"/>
  <c r="DL27" i="1"/>
  <c r="DL26" i="1"/>
  <c r="DL25" i="1"/>
  <c r="DJ13" i="1" l="1"/>
  <c r="DJ8" i="1"/>
  <c r="DI14" i="1" l="1"/>
  <c r="DI13" i="1"/>
  <c r="DH13" i="1"/>
  <c r="DG13" i="1"/>
  <c r="DI12" i="1"/>
  <c r="DH12" i="1"/>
  <c r="DI11" i="1"/>
  <c r="DH11" i="1"/>
  <c r="DG17" i="1" l="1"/>
  <c r="DH17" i="1" l="1"/>
  <c r="DI17" i="1"/>
  <c r="DF17" i="1"/>
  <c r="DF13" i="1"/>
  <c r="DE13" i="1"/>
  <c r="DD13" i="1"/>
  <c r="DE12" i="1"/>
  <c r="DD12" i="1"/>
  <c r="DD17" i="1" s="1"/>
  <c r="DE11" i="1"/>
  <c r="DE17" i="1" s="1"/>
  <c r="DD11" i="1"/>
  <c r="DD8" i="1"/>
  <c r="DE8" i="1" s="1"/>
  <c r="DF8" i="1" s="1"/>
  <c r="DG28" i="1" l="1"/>
  <c r="DH28" i="1" l="1"/>
  <c r="DE28" i="1"/>
  <c r="DF28" i="1"/>
  <c r="DD28" i="1"/>
  <c r="DA17" i="1" l="1"/>
  <c r="DB17" i="1"/>
  <c r="DC17" i="1"/>
  <c r="DC28" i="1"/>
  <c r="DC14" i="1"/>
  <c r="DB14" i="1"/>
  <c r="DA14" i="1"/>
  <c r="CW14" i="1"/>
  <c r="CU14" i="1"/>
  <c r="DC13" i="1"/>
  <c r="DB13" i="1"/>
  <c r="DA13" i="1"/>
  <c r="CZ13" i="1"/>
  <c r="CY13" i="1"/>
  <c r="CX13" i="1"/>
  <c r="CW13" i="1"/>
  <c r="CV13" i="1"/>
  <c r="CU13" i="1"/>
  <c r="DB12" i="1"/>
  <c r="CX12" i="1"/>
  <c r="CV12" i="1"/>
  <c r="CY11" i="1"/>
  <c r="CX11" i="1"/>
  <c r="CV11" i="1"/>
  <c r="DB28" i="1" l="1"/>
  <c r="DA28" i="1"/>
  <c r="CZ17" i="1" l="1"/>
  <c r="CY17" i="1"/>
  <c r="CX17" i="1"/>
  <c r="CX8" i="1"/>
  <c r="CY8" i="1" s="1"/>
  <c r="CZ8" i="1" s="1"/>
  <c r="DA8" i="1" s="1"/>
  <c r="DB8" i="1" s="1"/>
  <c r="DC8" i="1" s="1"/>
  <c r="CY28" i="1" l="1"/>
  <c r="CZ28" i="1"/>
  <c r="CX28" i="1"/>
  <c r="CW17" i="1"/>
  <c r="CU17" i="1"/>
  <c r="CV17" i="1"/>
  <c r="CT17" i="1" l="1"/>
  <c r="CS17" i="1"/>
  <c r="CW28" i="1" l="1"/>
  <c r="CV28" i="1"/>
  <c r="CU28" i="1"/>
  <c r="CR17" i="1"/>
  <c r="CO17" i="1"/>
  <c r="CS28" i="1" l="1"/>
  <c r="CT28" i="1"/>
  <c r="CL17" i="1"/>
  <c r="CP17" i="1"/>
  <c r="CM17" i="1"/>
  <c r="CQ17" i="1"/>
  <c r="CN17" i="1"/>
  <c r="CR28" i="1" l="1"/>
  <c r="CO28" i="1"/>
  <c r="CM28" i="1"/>
  <c r="CJ17" i="1"/>
  <c r="CP28" i="1" l="1"/>
  <c r="CL28" i="1"/>
  <c r="CQ28" i="1"/>
  <c r="CK17" i="1"/>
  <c r="CN28" i="1"/>
  <c r="CK28" i="1" l="1"/>
  <c r="CJ28" i="1"/>
  <c r="CH14" i="1" l="1"/>
  <c r="CG14" i="1"/>
  <c r="CF14" i="1"/>
  <c r="CE14" i="1"/>
  <c r="CH13" i="1"/>
  <c r="CG13" i="1"/>
  <c r="CF13" i="1"/>
  <c r="CE13" i="1"/>
  <c r="CH12" i="1"/>
  <c r="CG12" i="1"/>
  <c r="CE12" i="1"/>
  <c r="CG11" i="1"/>
  <c r="CF11" i="1"/>
  <c r="CE11" i="1"/>
  <c r="CI17" i="1" l="1"/>
  <c r="CG17" i="1"/>
  <c r="CE17" i="1"/>
  <c r="CF17" i="1"/>
  <c r="CH17" i="1"/>
  <c r="CD14" i="1"/>
  <c r="CB14" i="1"/>
  <c r="CA14" i="1"/>
  <c r="CD13" i="1"/>
  <c r="CC13" i="1"/>
  <c r="CB13" i="1"/>
  <c r="CA13" i="1"/>
  <c r="BZ13" i="1"/>
  <c r="CD12" i="1"/>
  <c r="CC12" i="1"/>
  <c r="CB12" i="1"/>
  <c r="CA12" i="1"/>
  <c r="BZ12" i="1"/>
  <c r="CD11" i="1"/>
  <c r="CC11" i="1"/>
  <c r="CB11" i="1"/>
  <c r="CA11" i="1"/>
  <c r="BZ11" i="1"/>
  <c r="CD17" i="1" l="1"/>
  <c r="CC17" i="1"/>
  <c r="CA17" i="1"/>
  <c r="CB17" i="1"/>
  <c r="BZ17" i="1"/>
  <c r="CD28" i="1" l="1"/>
  <c r="CH28" i="1"/>
  <c r="CG28" i="1"/>
  <c r="CI28" i="1"/>
  <c r="CE28" i="1"/>
  <c r="CF28" i="1"/>
  <c r="CC28" i="1" l="1"/>
  <c r="BZ28" i="1"/>
  <c r="CA28" i="1"/>
  <c r="CB28" i="1"/>
  <c r="BY14" i="1" l="1"/>
  <c r="BX14" i="1"/>
  <c r="BY13" i="1"/>
  <c r="BX13" i="1"/>
  <c r="BW13" i="1"/>
  <c r="BW17" i="1" s="1"/>
  <c r="BY12" i="1"/>
  <c r="BX12" i="1"/>
  <c r="BY11" i="1"/>
  <c r="BX11" i="1"/>
  <c r="BX8" i="1"/>
  <c r="BY8" i="1" s="1"/>
  <c r="BZ8" i="1" s="1"/>
  <c r="CA8" i="1" s="1"/>
  <c r="CB8" i="1" s="1"/>
  <c r="CC8" i="1" s="1"/>
  <c r="CD8" i="1" s="1"/>
  <c r="CE8" i="1" s="1"/>
  <c r="CF8" i="1" s="1"/>
  <c r="CG8" i="1" s="1"/>
  <c r="CH8" i="1" s="1"/>
  <c r="BV15" i="1"/>
  <c r="BV13" i="1"/>
  <c r="BV12" i="1"/>
  <c r="BV11" i="1"/>
  <c r="BY17" i="1" l="1"/>
  <c r="BX17" i="1"/>
  <c r="BV17" i="1"/>
  <c r="BW28" i="1" l="1"/>
  <c r="BY28" i="1" l="1"/>
  <c r="BX28" i="1"/>
  <c r="BV28" i="1"/>
  <c r="BR14" i="1" l="1"/>
  <c r="BQ14" i="1"/>
  <c r="BU13" i="1"/>
  <c r="BT13" i="1"/>
  <c r="BS13" i="1"/>
  <c r="BR13" i="1"/>
  <c r="BQ13" i="1"/>
  <c r="BU12" i="1"/>
  <c r="BT12" i="1"/>
  <c r="BS12" i="1"/>
  <c r="BR12" i="1"/>
  <c r="BQ12" i="1"/>
  <c r="BU11" i="1"/>
  <c r="BT11" i="1"/>
  <c r="BS11" i="1"/>
  <c r="BR11" i="1"/>
  <c r="BP14" i="1"/>
  <c r="BP13" i="1"/>
  <c r="BP12" i="1"/>
  <c r="BP11" i="1"/>
  <c r="BT17" i="1" l="1"/>
  <c r="BQ17" i="1"/>
  <c r="BR17" i="1"/>
  <c r="BU17" i="1"/>
  <c r="BS17" i="1"/>
  <c r="BP17" i="1"/>
  <c r="BO13" i="1"/>
  <c r="BN13" i="1"/>
  <c r="BO14" i="1" l="1"/>
  <c r="BO17" i="1" s="1"/>
  <c r="BN14" i="1"/>
  <c r="BN12" i="1"/>
  <c r="BN11" i="1"/>
  <c r="BT28" i="1" l="1"/>
  <c r="BQ28" i="1"/>
  <c r="BR28" i="1"/>
  <c r="BU28" i="1"/>
  <c r="BS28" i="1"/>
  <c r="BP28" i="1"/>
  <c r="BN17" i="1"/>
  <c r="BM14" i="1"/>
  <c r="BM13" i="1"/>
  <c r="BM12" i="1"/>
  <c r="BM11" i="1"/>
  <c r="BL11" i="1"/>
  <c r="BL17" i="1" s="1"/>
  <c r="BK14" i="1"/>
  <c r="BK13" i="1"/>
  <c r="BK12" i="1"/>
  <c r="BJ17" i="1"/>
  <c r="BI17" i="1"/>
  <c r="BH17" i="1"/>
  <c r="BM17" i="1" l="1"/>
  <c r="BK17" i="1"/>
  <c r="BO28" i="1"/>
  <c r="BI28" i="1" l="1"/>
  <c r="BH28" i="1"/>
  <c r="BN28" i="1"/>
  <c r="BJ28" i="1"/>
  <c r="BL28" i="1"/>
  <c r="BG17" i="1"/>
  <c r="BF17" i="1"/>
  <c r="BE17" i="1"/>
  <c r="BK28" i="1" l="1"/>
  <c r="BM28" i="1"/>
  <c r="BE28" i="1" l="1"/>
  <c r="BF28" i="1"/>
  <c r="BG28" i="1"/>
  <c r="BD17" i="1"/>
  <c r="BC17" i="1"/>
  <c r="BB17" i="1"/>
  <c r="BA17" i="1" l="1"/>
  <c r="AZ17" i="1"/>
  <c r="AY17" i="1"/>
  <c r="BD28" i="1" l="1"/>
  <c r="BB28" i="1"/>
  <c r="BC28" i="1"/>
  <c r="AX17" i="1"/>
  <c r="AW17" i="1"/>
  <c r="AV17" i="1"/>
  <c r="AU17" i="1"/>
  <c r="AT17" i="1"/>
  <c r="AS17" i="1"/>
  <c r="AR17" i="1"/>
  <c r="AQ17" i="1"/>
  <c r="AP17" i="1"/>
  <c r="AO17" i="1"/>
  <c r="AN17" i="1"/>
  <c r="BA28" i="1" l="1"/>
  <c r="AZ28" i="1"/>
  <c r="AY28" i="1"/>
  <c r="AU28" i="1" l="1"/>
  <c r="AV28" i="1"/>
  <c r="AW28" i="1"/>
  <c r="AX28" i="1"/>
  <c r="AR28" i="1"/>
  <c r="AM17" i="1"/>
  <c r="AL17" i="1"/>
  <c r="AK17" i="1"/>
  <c r="AJ17" i="1"/>
  <c r="AI17" i="1"/>
  <c r="AH17" i="1"/>
  <c r="AG17" i="1"/>
  <c r="AS28" i="1" l="1"/>
  <c r="AQ28" i="1"/>
  <c r="AP28" i="1"/>
  <c r="AT28" i="1"/>
  <c r="X17" i="1"/>
  <c r="Y17" i="1"/>
  <c r="Z17" i="1"/>
  <c r="AA17" i="1"/>
  <c r="AB17" i="1"/>
  <c r="AC17" i="1"/>
  <c r="AD17" i="1"/>
  <c r="AE17" i="1"/>
  <c r="AF17" i="1"/>
  <c r="AG28" i="1" l="1"/>
  <c r="AM28" i="1"/>
  <c r="AO28" i="1"/>
  <c r="AI28" i="1"/>
  <c r="AK28" i="1"/>
  <c r="AH28" i="1"/>
  <c r="AJ28" i="1"/>
  <c r="AL28" i="1"/>
  <c r="AN28" i="1"/>
  <c r="X28" i="1"/>
  <c r="AE28" i="1" l="1"/>
  <c r="AF28" i="1"/>
  <c r="AD28" i="1"/>
  <c r="AA28" i="1"/>
  <c r="AB28" i="1"/>
  <c r="AC28" i="1"/>
  <c r="Y28" i="1"/>
  <c r="Z28" i="1"/>
  <c r="U17" i="1"/>
  <c r="V17" i="1"/>
  <c r="W17" i="1"/>
  <c r="V28" i="1" l="1"/>
  <c r="U28" i="1"/>
  <c r="W28" i="1"/>
  <c r="T18" i="1"/>
  <c r="S18" i="1"/>
  <c r="R18" i="1"/>
  <c r="T17" i="1"/>
  <c r="S17" i="1"/>
  <c r="R17" i="1"/>
  <c r="O17" i="1" l="1"/>
  <c r="P17" i="1"/>
  <c r="Q17" i="1"/>
  <c r="T28" i="1" l="1"/>
  <c r="S28" i="1"/>
  <c r="R28" i="1"/>
  <c r="Q19" i="1"/>
  <c r="P19" i="1"/>
  <c r="O19" i="1"/>
  <c r="Q28" i="1" l="1"/>
  <c r="O28" i="1"/>
  <c r="P28" i="1"/>
  <c r="J13" i="1"/>
  <c r="I13" i="1"/>
  <c r="J18" i="1"/>
  <c r="J14" i="1"/>
  <c r="J12" i="1"/>
  <c r="J11" i="1"/>
  <c r="J16" i="1"/>
  <c r="I18" i="1"/>
  <c r="I12" i="1"/>
  <c r="I11" i="1"/>
  <c r="H15" i="1"/>
  <c r="H18" i="1"/>
  <c r="H14" i="1"/>
  <c r="H13" i="1"/>
  <c r="H12" i="1"/>
  <c r="H11" i="1"/>
  <c r="G18" i="1"/>
  <c r="G14" i="1"/>
  <c r="G13" i="1"/>
  <c r="G12" i="1"/>
  <c r="G11" i="1"/>
  <c r="F13" i="1"/>
  <c r="F18" i="1"/>
  <c r="F14" i="1"/>
  <c r="F12" i="1"/>
  <c r="F11" i="1"/>
  <c r="E13" i="1"/>
  <c r="E18" i="1"/>
  <c r="E14" i="1"/>
  <c r="E12" i="1"/>
  <c r="E11" i="1"/>
  <c r="D14" i="1"/>
  <c r="D12" i="1"/>
  <c r="D11" i="1"/>
  <c r="D18" i="1"/>
  <c r="C13" i="1"/>
  <c r="C18" i="1"/>
  <c r="C14" i="1"/>
  <c r="C12" i="1"/>
  <c r="C11" i="1"/>
  <c r="K17" i="1"/>
  <c r="L17" i="1"/>
  <c r="M17" i="1"/>
  <c r="M19" i="1" s="1"/>
  <c r="N17" i="1"/>
  <c r="D16" i="1"/>
  <c r="E17" i="1" l="1"/>
  <c r="G17" i="1"/>
  <c r="H17" i="1"/>
  <c r="C17" i="1"/>
  <c r="F17" i="1"/>
  <c r="J17" i="1"/>
  <c r="D17" i="1"/>
  <c r="I17" i="1"/>
  <c r="N19" i="1"/>
  <c r="L28" i="1" l="1"/>
  <c r="N28" i="1"/>
  <c r="H28" i="1" l="1"/>
  <c r="G28" i="1"/>
  <c r="F28" i="1"/>
  <c r="K19" i="1"/>
  <c r="K28" i="1" l="1"/>
  <c r="D19" i="1"/>
  <c r="E19" i="1"/>
  <c r="F19" i="1"/>
  <c r="I19" i="1"/>
  <c r="G19" i="1"/>
  <c r="H19" i="1"/>
  <c r="J19" i="1"/>
  <c r="L19" i="1"/>
  <c r="J28" i="1" l="1"/>
  <c r="I28" i="1"/>
  <c r="E28" i="1"/>
  <c r="D28" i="1"/>
  <c r="M28" i="1"/>
</calcChain>
</file>

<file path=xl/sharedStrings.xml><?xml version="1.0" encoding="utf-8"?>
<sst xmlns="http://schemas.openxmlformats.org/spreadsheetml/2006/main" count="353" uniqueCount="29">
  <si>
    <t>LABORATORIO</t>
  </si>
  <si>
    <t>SONIDO</t>
  </si>
  <si>
    <t>SERVICIOS A LA PRODUCCION</t>
  </si>
  <si>
    <t>SERVICIOS DIGITALES</t>
  </si>
  <si>
    <t>SPOTS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</si>
  <si>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</si>
  <si>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</si>
  <si>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</si>
  <si>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</si>
  <si>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</si>
  <si>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</si>
  <si>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</si>
  <si>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</si>
  <si>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</si>
  <si>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</si>
  <si>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</si>
  <si>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</si>
  <si>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DISTRIBUCION</t>
  </si>
  <si>
    <t>ESTUDIOS CHURUBUSCO AZTECA, S. A.</t>
  </si>
  <si>
    <t>(Ventas netas en Pesos)</t>
  </si>
  <si>
    <t>RESPONSABLE DE</t>
  </si>
  <si>
    <t>LA INFORMACIÓN:</t>
  </si>
  <si>
    <t>Estudios Churubusco Azteca, S.A.</t>
  </si>
  <si>
    <t>C. P. Miguel Angel Nava Hernández</t>
  </si>
  <si>
    <t>Jefe de Contabilidad</t>
  </si>
  <si>
    <t>mnava@estudioschurubusco.com</t>
  </si>
  <si>
    <t>55 49 30 60 Ext. 4743</t>
  </si>
  <si>
    <t>TEMA1  INFORMACIÓN DE INTERÉS PÚBLICO (TRANSPARENCIA FOCALIZADA)</t>
  </si>
  <si>
    <t>FUENTES GENERADORAS DE INGRESOS EN LOS ESTUDIOS CHURUBUSCO 2011-2023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</si>
</sst>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>
    <font>
      <sz val="10"/>
      <name val="Arial"/>
    </font>
    <font>
      <sz val="10"/>
      <name val="Arial"/>
      <family val="2"/>
    </font>
    <font>
      <sz val="12"/>
      <name val="Californian FB"/>
      <family val="1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sz val="20"/>
      <color indexed="9"/>
      <name val="Californian FB"/>
      <family val="1"/>
    </font>
    <font>
      <b/>
      <sz val="20"/>
      <name val="Arial"/>
      <family val="2"/>
    </font>
    <font>
      <sz val="20"/>
      <name val="Californian FB"/>
      <family val="1"/>
    </font>
    <font>
      <b/>
      <sz val="18"/>
      <color theme="6" tint="-0.499984740745262"/>
      <name val="Arial Narrow"/>
      <family val="2"/>
    </font>
    <font>
      <b/>
      <sz val="22"/>
      <color theme="7" tint="-0.249977111117893"/>
      <name val="Arial Narrow"/>
      <family val="2"/>
    </font>
    <font>
      <sz val="12"/>
      <name val="AvantGarde"/>
      <family val="2"/>
    </font>
    <font>
      <b/>
      <sz val="12"/>
      <name val="AvantGarde"/>
      <family val="2"/>
    </font>
    <font>
      <sz val="12"/>
      <color theme="2"/>
      <name val="AvantGarde"/>
      <family val="2"/>
    </font>
    <font>
      <sz val="12"/>
      <color indexed="9"/>
      <name val="AvantGarde"/>
      <family val="2"/>
    </font>
    <font>
      <sz val="12"/>
      <color rgb="FFFFFFFF"/>
      <name val="AvantGarde"/>
      <family val="2"/>
    </font>
    <font>
      <sz val="10"/>
      <name val="AvantGarde"/>
      <family val="2"/>
    </font>
    <font>
      <sz val="12"/>
      <name val="AvantGarde"/>
    </font>
    <font>
      <sz val="10"/>
      <name val="AvantGarde"/>
    </font>
    <font>
      <sz val="12"/>
      <color rgb="FFFF0000"/>
      <name val="AvantGarde"/>
      <family val="2"/>
    </font>
    <font>
      <b/>
      <sz val="9"/>
      <color rgb="FF000000"/>
      <name val="Lucida Sans Unicode"/>
      <family val="2"/>
    </font>
    <font>
      <sz val="9"/>
      <color rgb="FF000000"/>
      <name val="Lucida Sans Unicode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Lucida Sans Unicode"/>
      <family val="2"/>
    </font>
    <font>
      <b/>
      <u/>
      <sz val="8"/>
      <color rgb="FF0000FF"/>
      <name val="Lucida Sans Unicode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u/>
      <sz val="10"/>
      <color theme="10"/>
      <name val="Arial"/>
      <family val="2"/>
    </font>
    <font>
      <b/>
      <sz val="22"/>
      <name val="Acid Grotesk"/>
      <family val="3"/>
    </font>
    <font>
      <b/>
      <sz val="12"/>
      <name val="Acid Grotesk"/>
      <family val="3"/>
    </font>
    <font>
      <sz val="12"/>
      <name val="Acid Grotesk"/>
      <family val="3"/>
    </font>
    <font>
      <b/>
      <sz val="22"/>
      <name val="Acid Grotesk Normal"/>
      <family val="3"/>
    </font>
    <font>
      <b/>
      <sz val="12"/>
      <name val="Acid Grotesk Normal"/>
      <family val="3"/>
    </font>
    <font>
      <sz val="12"/>
      <name val="Acid Grotesk Normal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88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right"/>
    </xf>
    <xf numFmtId="0" fontId="4" fillId="0" borderId="0" xfId="0" applyFont="1"/>
    <xf numFmtId="43" fontId="5" fillId="0" borderId="0" xfId="1" applyFont="1"/>
    <xf numFmtId="0" fontId="6" fillId="0" borderId="0" xfId="0" applyFont="1" applyAlignment="1">
      <alignment horizontal="right"/>
    </xf>
    <xf numFmtId="43" fontId="7" fillId="0" borderId="0" xfId="1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43" fontId="14" fillId="0" borderId="0" xfId="1" applyFont="1"/>
    <xf numFmtId="0" fontId="15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Fill="1"/>
    <xf numFmtId="10" fontId="16" fillId="0" borderId="0" xfId="2" applyNumberFormat="1" applyFont="1" applyFill="1" applyAlignment="1">
      <alignment horizontal="center"/>
    </xf>
    <xf numFmtId="0" fontId="17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8" fillId="0" borderId="0" xfId="1" applyFont="1"/>
    <xf numFmtId="0" fontId="19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0" fontId="22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0" fontId="9" fillId="0" borderId="0" xfId="0" applyFont="1" applyAlignment="1">
      <alignment horizontal="center"/>
    </xf>
    <xf numFmtId="43" fontId="10" fillId="0" borderId="0" xfId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43" fontId="30" fillId="0" borderId="0" xfId="1" applyFont="1" applyFill="1" applyAlignment="1">
      <alignment horizontal="center" vertical="center"/>
    </xf>
    <xf numFmtId="10" fontId="30" fillId="0" borderId="0" xfId="2" applyNumberFormat="1" applyFont="1" applyFill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2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43" fontId="33" fillId="0" borderId="0" xfId="1" applyFont="1" applyFill="1" applyAlignment="1">
      <alignment horizontal="center" vertical="center"/>
    </xf>
    <xf numFmtId="43" fontId="33" fillId="0" borderId="2" xfId="1" applyFont="1" applyFill="1" applyBorder="1" applyAlignment="1">
      <alignment horizontal="center" vertical="center"/>
    </xf>
    <xf numFmtId="10" fontId="33" fillId="0" borderId="0" xfId="2" applyNumberFormat="1" applyFont="1" applyFill="1" applyAlignment="1">
      <alignment horizontal="center" vertical="center"/>
    </xf>
    <xf numFmtId="10" fontId="33" fillId="0" borderId="2" xfId="1" applyNumberFormat="1" applyFont="1" applyFill="1" applyBorder="1" applyAlignment="1">
      <alignment horizontal="center" vertical="center"/>
    </xf>
    <xf numFmtId="0" fontId="27" fillId="2" borderId="0" xfId="3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VENTAS NETAS</a:t>
            </a:r>
          </a:p>
        </c:rich>
      </c:tx>
      <c:layout>
        <c:manualLayout>
          <c:xMode val="edge"/>
          <c:yMode val="edge"/>
          <c:x val="0.46739157997409086"/>
          <c:y val="1.1560715394530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129812519392513E-2"/>
          <c:y val="0.10677824723861358"/>
          <c:w val="0.93538702503858195"/>
          <c:h val="0.88439472768155369"/>
        </c:manualLayout>
      </c:layout>
      <c:lineChart>
        <c:grouping val="standard"/>
        <c:varyColors val="0"/>
        <c:ser>
          <c:idx val="0"/>
          <c:order val="0"/>
          <c:tx>
            <c:v>LABORATORIO</c:v>
          </c:tx>
          <c:cat>
            <c:strRef>
              <c:f>Hoja1!$C$9:$FK$9</c:f>
              <c:strCache>
                <c:ptCount val="16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  <c:pt idx="156">
                  <c:v>ENERO</c:v>
                </c:pt>
                <c:pt idx="157">
                  <c:v>FEBRERO</c:v>
                </c:pt>
                <c:pt idx="158">
                  <c:v>MARZO</c:v>
                </c:pt>
                <c:pt idx="159">
                  <c:v>ABRIL</c:v>
                </c:pt>
                <c:pt idx="160">
                  <c:v>MAYO</c:v>
                </c:pt>
                <c:pt idx="161">
                  <c:v>JUNIO</c:v>
                </c:pt>
                <c:pt idx="162">
                  <c:v>JULIO</c:v>
                </c:pt>
                <c:pt idx="163">
                  <c:v>AGOSTO</c:v>
                </c:pt>
                <c:pt idx="164">
                  <c:v>SEPTIEMBRE</c:v>
                </c:pt>
              </c:strCache>
            </c:strRef>
          </c:cat>
          <c:val>
            <c:numRef>
              <c:f>Hoja1!$C$11:$FK$11</c:f>
              <c:numCache>
                <c:formatCode>_(* #,##0.00_);_(* \(#,##0.00\);_(* "-"??_);_(@_)</c:formatCode>
                <c:ptCount val="165"/>
                <c:pt idx="0">
                  <c:v>325632.58</c:v>
                </c:pt>
                <c:pt idx="1">
                  <c:v>214773.69</c:v>
                </c:pt>
                <c:pt idx="2">
                  <c:v>638624.88000000012</c:v>
                </c:pt>
                <c:pt idx="3">
                  <c:v>1509903.2700000003</c:v>
                </c:pt>
                <c:pt idx="4">
                  <c:v>602498.64999999991</c:v>
                </c:pt>
                <c:pt idx="5">
                  <c:v>513598.11000000004</c:v>
                </c:pt>
                <c:pt idx="6">
                  <c:v>166496.21000000002</c:v>
                </c:pt>
                <c:pt idx="7">
                  <c:v>599841.67000000004</c:v>
                </c:pt>
                <c:pt idx="8">
                  <c:v>-18801.359999999997</c:v>
                </c:pt>
                <c:pt idx="9">
                  <c:v>152262.93000000002</c:v>
                </c:pt>
                <c:pt idx="10">
                  <c:v>932205.02</c:v>
                </c:pt>
                <c:pt idx="11">
                  <c:v>917853.3</c:v>
                </c:pt>
                <c:pt idx="12">
                  <c:v>560813.25</c:v>
                </c:pt>
                <c:pt idx="13">
                  <c:v>1700551.75</c:v>
                </c:pt>
                <c:pt idx="14">
                  <c:v>3850907.9299999997</c:v>
                </c:pt>
                <c:pt idx="15">
                  <c:v>1929091.66</c:v>
                </c:pt>
                <c:pt idx="16">
                  <c:v>790760.91999999993</c:v>
                </c:pt>
                <c:pt idx="17">
                  <c:v>5560114.3399999999</c:v>
                </c:pt>
                <c:pt idx="18">
                  <c:v>538623.56999999995</c:v>
                </c:pt>
                <c:pt idx="19">
                  <c:v>232105.12000000002</c:v>
                </c:pt>
                <c:pt idx="20">
                  <c:v>4541.3999999999978</c:v>
                </c:pt>
                <c:pt idx="21">
                  <c:v>736753.06</c:v>
                </c:pt>
                <c:pt idx="22">
                  <c:v>2790078.9000000004</c:v>
                </c:pt>
                <c:pt idx="23">
                  <c:v>1728794.0499999998</c:v>
                </c:pt>
                <c:pt idx="24">
                  <c:v>-201192.91000000003</c:v>
                </c:pt>
                <c:pt idx="25">
                  <c:v>40182.799999999996</c:v>
                </c:pt>
                <c:pt idx="26">
                  <c:v>647460.91999999993</c:v>
                </c:pt>
                <c:pt idx="27">
                  <c:v>1232873.52</c:v>
                </c:pt>
                <c:pt idx="28">
                  <c:v>1687827.8699999999</c:v>
                </c:pt>
                <c:pt idx="29">
                  <c:v>2371297.63</c:v>
                </c:pt>
                <c:pt idx="30">
                  <c:v>1358205.3800000001</c:v>
                </c:pt>
                <c:pt idx="31">
                  <c:v>660516.38</c:v>
                </c:pt>
                <c:pt idx="32">
                  <c:v>975793.35000000009</c:v>
                </c:pt>
                <c:pt idx="33">
                  <c:v>-646125.98</c:v>
                </c:pt>
                <c:pt idx="34">
                  <c:v>1437417.49</c:v>
                </c:pt>
                <c:pt idx="35">
                  <c:v>1561416.97</c:v>
                </c:pt>
                <c:pt idx="36">
                  <c:v>6186.68</c:v>
                </c:pt>
                <c:pt idx="37">
                  <c:v>5443.66</c:v>
                </c:pt>
                <c:pt idx="38">
                  <c:v>251103.26</c:v>
                </c:pt>
                <c:pt idx="39">
                  <c:v>7334.2200000000012</c:v>
                </c:pt>
                <c:pt idx="40">
                  <c:v>6647.42</c:v>
                </c:pt>
                <c:pt idx="41">
                  <c:v>6178.01</c:v>
                </c:pt>
                <c:pt idx="42">
                  <c:v>15470.819999999998</c:v>
                </c:pt>
                <c:pt idx="43">
                  <c:v>28735.279999999999</c:v>
                </c:pt>
                <c:pt idx="44">
                  <c:v>6028.4500000000007</c:v>
                </c:pt>
                <c:pt idx="45">
                  <c:v>94421.849999999977</c:v>
                </c:pt>
                <c:pt idx="46">
                  <c:v>25697.429999999997</c:v>
                </c:pt>
                <c:pt idx="47">
                  <c:v>24155.599999999999</c:v>
                </c:pt>
                <c:pt idx="48">
                  <c:v>3518.5599999999995</c:v>
                </c:pt>
                <c:pt idx="49">
                  <c:v>390162.14999999997</c:v>
                </c:pt>
                <c:pt idx="50">
                  <c:v>51454.82</c:v>
                </c:pt>
                <c:pt idx="51">
                  <c:v>29696.73</c:v>
                </c:pt>
                <c:pt idx="52">
                  <c:v>3231.63</c:v>
                </c:pt>
                <c:pt idx="53">
                  <c:v>3645.0299999999997</c:v>
                </c:pt>
                <c:pt idx="54">
                  <c:v>0</c:v>
                </c:pt>
                <c:pt idx="55">
                  <c:v>1602.85</c:v>
                </c:pt>
                <c:pt idx="56">
                  <c:v>9795.42</c:v>
                </c:pt>
                <c:pt idx="57">
                  <c:v>430324.8</c:v>
                </c:pt>
                <c:pt idx="58">
                  <c:v>318776.93</c:v>
                </c:pt>
                <c:pt idx="59">
                  <c:v>2321.5999999999995</c:v>
                </c:pt>
                <c:pt idx="60">
                  <c:v>1360</c:v>
                </c:pt>
                <c:pt idx="61">
                  <c:v>3278.2200000000012</c:v>
                </c:pt>
                <c:pt idx="62">
                  <c:v>3523.920000000001</c:v>
                </c:pt>
                <c:pt idx="63">
                  <c:v>167199.04999999999</c:v>
                </c:pt>
                <c:pt idx="64">
                  <c:v>12711.6</c:v>
                </c:pt>
                <c:pt idx="65">
                  <c:v>197086.83000000002</c:v>
                </c:pt>
                <c:pt idx="66">
                  <c:v>0</c:v>
                </c:pt>
                <c:pt idx="67">
                  <c:v>45364.77</c:v>
                </c:pt>
                <c:pt idx="68">
                  <c:v>87431.94</c:v>
                </c:pt>
                <c:pt idx="69">
                  <c:v>225410.20999999996</c:v>
                </c:pt>
                <c:pt idx="70">
                  <c:v>3168258.47</c:v>
                </c:pt>
                <c:pt idx="71">
                  <c:v>41562.21</c:v>
                </c:pt>
                <c:pt idx="72">
                  <c:v>32384</c:v>
                </c:pt>
                <c:pt idx="73">
                  <c:v>2800</c:v>
                </c:pt>
                <c:pt idx="74">
                  <c:v>56031.44</c:v>
                </c:pt>
                <c:pt idx="75">
                  <c:v>6160</c:v>
                </c:pt>
                <c:pt idx="76">
                  <c:v>5153.3499999999985</c:v>
                </c:pt>
                <c:pt idx="77">
                  <c:v>5927.55</c:v>
                </c:pt>
                <c:pt idx="78">
                  <c:v>406697.76</c:v>
                </c:pt>
                <c:pt idx="79">
                  <c:v>3801.11</c:v>
                </c:pt>
                <c:pt idx="80">
                  <c:v>16591.769999999997</c:v>
                </c:pt>
                <c:pt idx="81">
                  <c:v>14381.380000000001</c:v>
                </c:pt>
                <c:pt idx="82">
                  <c:v>26818.739999999998</c:v>
                </c:pt>
                <c:pt idx="83">
                  <c:v>0</c:v>
                </c:pt>
                <c:pt idx="84">
                  <c:v>22958.089999999997</c:v>
                </c:pt>
                <c:pt idx="85">
                  <c:v>14099.59</c:v>
                </c:pt>
                <c:pt idx="86">
                  <c:v>23512.18</c:v>
                </c:pt>
                <c:pt idx="87">
                  <c:v>14679.699999999999</c:v>
                </c:pt>
                <c:pt idx="88">
                  <c:v>13733.880000000001</c:v>
                </c:pt>
                <c:pt idx="89">
                  <c:v>17349.68</c:v>
                </c:pt>
                <c:pt idx="90">
                  <c:v>4330.29</c:v>
                </c:pt>
                <c:pt idx="91">
                  <c:v>7783.869999999999</c:v>
                </c:pt>
                <c:pt idx="92">
                  <c:v>68235.429999999993</c:v>
                </c:pt>
                <c:pt idx="93">
                  <c:v>63895.850000000006</c:v>
                </c:pt>
                <c:pt idx="94">
                  <c:v>-285859.26</c:v>
                </c:pt>
                <c:pt idx="95">
                  <c:v>356258.62</c:v>
                </c:pt>
                <c:pt idx="96">
                  <c:v>18255.97</c:v>
                </c:pt>
                <c:pt idx="97">
                  <c:v>2774.6000000000004</c:v>
                </c:pt>
                <c:pt idx="98">
                  <c:v>8262.83</c:v>
                </c:pt>
                <c:pt idx="99">
                  <c:v>13615.47</c:v>
                </c:pt>
                <c:pt idx="100">
                  <c:v>1700.6000000000001</c:v>
                </c:pt>
                <c:pt idx="101">
                  <c:v>10211.959999999999</c:v>
                </c:pt>
                <c:pt idx="102">
                  <c:v>48969.98</c:v>
                </c:pt>
                <c:pt idx="103">
                  <c:v>64416.5</c:v>
                </c:pt>
                <c:pt idx="104">
                  <c:v>2208.8200000000002</c:v>
                </c:pt>
                <c:pt idx="105">
                  <c:v>14325.99</c:v>
                </c:pt>
                <c:pt idx="106">
                  <c:v>66237.500000000015</c:v>
                </c:pt>
                <c:pt idx="107">
                  <c:v>4798466.1900000004</c:v>
                </c:pt>
                <c:pt idx="108">
                  <c:v>0</c:v>
                </c:pt>
                <c:pt idx="109">
                  <c:v>163879.20000000001</c:v>
                </c:pt>
                <c:pt idx="110">
                  <c:v>3809.46</c:v>
                </c:pt>
                <c:pt idx="115">
                  <c:v>13935.02</c:v>
                </c:pt>
                <c:pt idx="116">
                  <c:v>122049.48</c:v>
                </c:pt>
                <c:pt idx="117">
                  <c:v>172892.9</c:v>
                </c:pt>
                <c:pt idx="118">
                  <c:v>0</c:v>
                </c:pt>
                <c:pt idx="119">
                  <c:v>3182.1</c:v>
                </c:pt>
                <c:pt idx="120">
                  <c:v>562.4</c:v>
                </c:pt>
                <c:pt idx="121">
                  <c:v>36741.399999999994</c:v>
                </c:pt>
                <c:pt idx="122">
                  <c:v>10884.1</c:v>
                </c:pt>
                <c:pt idx="123">
                  <c:v>20286.8</c:v>
                </c:pt>
                <c:pt idx="124">
                  <c:v>5459.3</c:v>
                </c:pt>
                <c:pt idx="125">
                  <c:v>2076.6</c:v>
                </c:pt>
                <c:pt idx="126">
                  <c:v>827.11999999999989</c:v>
                </c:pt>
                <c:pt idx="127">
                  <c:v>10851.7</c:v>
                </c:pt>
                <c:pt idx="128">
                  <c:v>8236.4</c:v>
                </c:pt>
                <c:pt idx="129">
                  <c:v>77375.600000000006</c:v>
                </c:pt>
                <c:pt idx="130">
                  <c:v>4827.0600000000004</c:v>
                </c:pt>
                <c:pt idx="131">
                  <c:v>100137.86</c:v>
                </c:pt>
                <c:pt idx="132">
                  <c:v>1250</c:v>
                </c:pt>
                <c:pt idx="133">
                  <c:v>4256.09</c:v>
                </c:pt>
                <c:pt idx="134">
                  <c:v>135467.65000000002</c:v>
                </c:pt>
                <c:pt idx="135">
                  <c:v>87150.09</c:v>
                </c:pt>
                <c:pt idx="136">
                  <c:v>12933.369999999999</c:v>
                </c:pt>
                <c:pt idx="137">
                  <c:v>90739.75</c:v>
                </c:pt>
                <c:pt idx="138">
                  <c:v>67461.959999999992</c:v>
                </c:pt>
                <c:pt idx="139">
                  <c:v>146063.95000000001</c:v>
                </c:pt>
                <c:pt idx="140">
                  <c:v>191096.59000000003</c:v>
                </c:pt>
                <c:pt idx="141">
                  <c:v>86960.62</c:v>
                </c:pt>
                <c:pt idx="142">
                  <c:v>20050.120000000003</c:v>
                </c:pt>
                <c:pt idx="143">
                  <c:v>109984.98000000001</c:v>
                </c:pt>
                <c:pt idx="144">
                  <c:v>4479.37</c:v>
                </c:pt>
                <c:pt idx="145">
                  <c:v>14962.260000000002</c:v>
                </c:pt>
                <c:pt idx="146">
                  <c:v>104163.49</c:v>
                </c:pt>
                <c:pt idx="147">
                  <c:v>41055.89</c:v>
                </c:pt>
                <c:pt idx="148">
                  <c:v>35747.869999999995</c:v>
                </c:pt>
                <c:pt idx="149">
                  <c:v>19915.32</c:v>
                </c:pt>
                <c:pt idx="150">
                  <c:v>2580</c:v>
                </c:pt>
                <c:pt idx="151">
                  <c:v>29586.87</c:v>
                </c:pt>
                <c:pt idx="152">
                  <c:v>12192.77</c:v>
                </c:pt>
                <c:pt idx="153">
                  <c:v>41043.160000000003</c:v>
                </c:pt>
                <c:pt idx="154">
                  <c:v>486781.68999999994</c:v>
                </c:pt>
                <c:pt idx="155">
                  <c:v>1991785.99</c:v>
                </c:pt>
                <c:pt idx="156">
                  <c:v>41705.17</c:v>
                </c:pt>
                <c:pt idx="157">
                  <c:v>7458.75</c:v>
                </c:pt>
                <c:pt idx="158">
                  <c:v>22262.15</c:v>
                </c:pt>
                <c:pt idx="159">
                  <c:v>52249.369999999995</c:v>
                </c:pt>
                <c:pt idx="160">
                  <c:v>15373.619999999999</c:v>
                </c:pt>
                <c:pt idx="161">
                  <c:v>8490.119999999999</c:v>
                </c:pt>
                <c:pt idx="162">
                  <c:v>7774.5</c:v>
                </c:pt>
                <c:pt idx="163">
                  <c:v>8439.24</c:v>
                </c:pt>
                <c:pt idx="164">
                  <c:v>79309.02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6-4555-865B-6D70E9CB68F2}"/>
            </c:ext>
          </c:extLst>
        </c:ser>
        <c:ser>
          <c:idx val="1"/>
          <c:order val="1"/>
          <c:tx>
            <c:v>SONIDO</c:v>
          </c:tx>
          <c:cat>
            <c:strRef>
              <c:f>Hoja1!$C$9:$FK$9</c:f>
              <c:strCache>
                <c:ptCount val="16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  <c:pt idx="156">
                  <c:v>ENERO</c:v>
                </c:pt>
                <c:pt idx="157">
                  <c:v>FEBRERO</c:v>
                </c:pt>
                <c:pt idx="158">
                  <c:v>MARZO</c:v>
                </c:pt>
                <c:pt idx="159">
                  <c:v>ABRIL</c:v>
                </c:pt>
                <c:pt idx="160">
                  <c:v>MAYO</c:v>
                </c:pt>
                <c:pt idx="161">
                  <c:v>JUNIO</c:v>
                </c:pt>
                <c:pt idx="162">
                  <c:v>JULIO</c:v>
                </c:pt>
                <c:pt idx="163">
                  <c:v>AGOSTO</c:v>
                </c:pt>
                <c:pt idx="164">
                  <c:v>SEPTIEMBRE</c:v>
                </c:pt>
              </c:strCache>
            </c:strRef>
          </c:cat>
          <c:val>
            <c:numRef>
              <c:f>Hoja1!$C$12:$FK$12</c:f>
              <c:numCache>
                <c:formatCode>_(* #,##0.00_);_(* \(#,##0.00\);_(* "-"??_);_(@_)</c:formatCode>
                <c:ptCount val="165"/>
                <c:pt idx="0">
                  <c:v>73445</c:v>
                </c:pt>
                <c:pt idx="1">
                  <c:v>338750</c:v>
                </c:pt>
                <c:pt idx="2">
                  <c:v>295450</c:v>
                </c:pt>
                <c:pt idx="3">
                  <c:v>46130</c:v>
                </c:pt>
                <c:pt idx="4">
                  <c:v>125369.71000000002</c:v>
                </c:pt>
                <c:pt idx="5">
                  <c:v>20320</c:v>
                </c:pt>
                <c:pt idx="6">
                  <c:v>67060</c:v>
                </c:pt>
                <c:pt idx="7">
                  <c:v>376030.05</c:v>
                </c:pt>
                <c:pt idx="8">
                  <c:v>130100</c:v>
                </c:pt>
                <c:pt idx="9">
                  <c:v>198726.77</c:v>
                </c:pt>
                <c:pt idx="10">
                  <c:v>30400</c:v>
                </c:pt>
                <c:pt idx="11">
                  <c:v>98770</c:v>
                </c:pt>
                <c:pt idx="12">
                  <c:v>624470.1</c:v>
                </c:pt>
                <c:pt idx="13">
                  <c:v>238465</c:v>
                </c:pt>
                <c:pt idx="14">
                  <c:v>198035</c:v>
                </c:pt>
                <c:pt idx="15">
                  <c:v>102455.22</c:v>
                </c:pt>
                <c:pt idx="16">
                  <c:v>144530</c:v>
                </c:pt>
                <c:pt idx="17">
                  <c:v>302360</c:v>
                </c:pt>
                <c:pt idx="18">
                  <c:v>13150</c:v>
                </c:pt>
                <c:pt idx="19">
                  <c:v>4400</c:v>
                </c:pt>
                <c:pt idx="20">
                  <c:v>266420</c:v>
                </c:pt>
                <c:pt idx="21">
                  <c:v>111612.5</c:v>
                </c:pt>
                <c:pt idx="22">
                  <c:v>88419.13</c:v>
                </c:pt>
                <c:pt idx="23">
                  <c:v>5500</c:v>
                </c:pt>
                <c:pt idx="24">
                  <c:v>16999.189999999999</c:v>
                </c:pt>
                <c:pt idx="25">
                  <c:v>12150</c:v>
                </c:pt>
                <c:pt idx="26">
                  <c:v>20600</c:v>
                </c:pt>
                <c:pt idx="27">
                  <c:v>1234539.67</c:v>
                </c:pt>
                <c:pt idx="28">
                  <c:v>50050</c:v>
                </c:pt>
                <c:pt idx="29">
                  <c:v>62990</c:v>
                </c:pt>
                <c:pt idx="30">
                  <c:v>33500</c:v>
                </c:pt>
                <c:pt idx="31">
                  <c:v>143008.59</c:v>
                </c:pt>
                <c:pt idx="32">
                  <c:v>196121.01</c:v>
                </c:pt>
                <c:pt idx="33">
                  <c:v>97940</c:v>
                </c:pt>
                <c:pt idx="34">
                  <c:v>36150</c:v>
                </c:pt>
                <c:pt idx="35">
                  <c:v>134260</c:v>
                </c:pt>
                <c:pt idx="36">
                  <c:v>104995</c:v>
                </c:pt>
                <c:pt idx="37">
                  <c:v>57620</c:v>
                </c:pt>
                <c:pt idx="38">
                  <c:v>110890</c:v>
                </c:pt>
                <c:pt idx="39">
                  <c:v>9900</c:v>
                </c:pt>
                <c:pt idx="40">
                  <c:v>78950</c:v>
                </c:pt>
                <c:pt idx="41">
                  <c:v>9800</c:v>
                </c:pt>
                <c:pt idx="42">
                  <c:v>30000</c:v>
                </c:pt>
                <c:pt idx="43">
                  <c:v>207353.5</c:v>
                </c:pt>
                <c:pt idx="44">
                  <c:v>76470</c:v>
                </c:pt>
                <c:pt idx="45">
                  <c:v>184333.6</c:v>
                </c:pt>
                <c:pt idx="46">
                  <c:v>3900</c:v>
                </c:pt>
                <c:pt idx="47">
                  <c:v>24745</c:v>
                </c:pt>
                <c:pt idx="48">
                  <c:v>102300</c:v>
                </c:pt>
                <c:pt idx="49">
                  <c:v>0</c:v>
                </c:pt>
                <c:pt idx="50">
                  <c:v>36880</c:v>
                </c:pt>
                <c:pt idx="51">
                  <c:v>180617.5</c:v>
                </c:pt>
                <c:pt idx="52">
                  <c:v>330461.25</c:v>
                </c:pt>
                <c:pt idx="53">
                  <c:v>196107.5</c:v>
                </c:pt>
                <c:pt idx="54">
                  <c:v>153724.68</c:v>
                </c:pt>
                <c:pt idx="55">
                  <c:v>73959.98</c:v>
                </c:pt>
                <c:pt idx="56">
                  <c:v>25809.98</c:v>
                </c:pt>
                <c:pt idx="57">
                  <c:v>234400.63</c:v>
                </c:pt>
                <c:pt idx="58">
                  <c:v>6860198.9800000004</c:v>
                </c:pt>
                <c:pt idx="59">
                  <c:v>506310</c:v>
                </c:pt>
                <c:pt idx="60">
                  <c:v>196855</c:v>
                </c:pt>
                <c:pt idx="61">
                  <c:v>551171.30000000005</c:v>
                </c:pt>
                <c:pt idx="62">
                  <c:v>40395</c:v>
                </c:pt>
                <c:pt idx="63">
                  <c:v>222780.24</c:v>
                </c:pt>
                <c:pt idx="64">
                  <c:v>48375</c:v>
                </c:pt>
                <c:pt idx="65">
                  <c:v>68210.11</c:v>
                </c:pt>
                <c:pt idx="66">
                  <c:v>253840</c:v>
                </c:pt>
                <c:pt idx="67">
                  <c:v>45250</c:v>
                </c:pt>
                <c:pt idx="68">
                  <c:v>654575</c:v>
                </c:pt>
                <c:pt idx="69">
                  <c:v>603085</c:v>
                </c:pt>
                <c:pt idx="70">
                  <c:v>329470</c:v>
                </c:pt>
                <c:pt idx="71">
                  <c:v>336310</c:v>
                </c:pt>
                <c:pt idx="72">
                  <c:v>64100</c:v>
                </c:pt>
                <c:pt idx="73">
                  <c:v>153020</c:v>
                </c:pt>
                <c:pt idx="74">
                  <c:v>235190</c:v>
                </c:pt>
                <c:pt idx="75">
                  <c:v>974186</c:v>
                </c:pt>
                <c:pt idx="76">
                  <c:v>53470</c:v>
                </c:pt>
                <c:pt idx="77">
                  <c:v>205395</c:v>
                </c:pt>
                <c:pt idx="78">
                  <c:v>74950</c:v>
                </c:pt>
                <c:pt idx="79">
                  <c:v>157075</c:v>
                </c:pt>
                <c:pt idx="80">
                  <c:v>133750</c:v>
                </c:pt>
                <c:pt idx="81">
                  <c:v>35275</c:v>
                </c:pt>
                <c:pt idx="82">
                  <c:v>96475.3</c:v>
                </c:pt>
                <c:pt idx="83">
                  <c:v>153270.59000000003</c:v>
                </c:pt>
                <c:pt idx="84">
                  <c:v>120250</c:v>
                </c:pt>
                <c:pt idx="85">
                  <c:v>189750</c:v>
                </c:pt>
                <c:pt idx="86">
                  <c:v>112715</c:v>
                </c:pt>
                <c:pt idx="87">
                  <c:v>31237.5</c:v>
                </c:pt>
                <c:pt idx="88">
                  <c:v>153600.79999999999</c:v>
                </c:pt>
                <c:pt idx="89">
                  <c:v>116450</c:v>
                </c:pt>
                <c:pt idx="90">
                  <c:v>624457.5</c:v>
                </c:pt>
                <c:pt idx="91">
                  <c:v>264995</c:v>
                </c:pt>
                <c:pt idx="92">
                  <c:v>258984.44</c:v>
                </c:pt>
                <c:pt idx="93">
                  <c:v>234735</c:v>
                </c:pt>
                <c:pt idx="94">
                  <c:v>712772.66</c:v>
                </c:pt>
                <c:pt idx="95">
                  <c:v>1154230</c:v>
                </c:pt>
                <c:pt idx="96">
                  <c:v>169150</c:v>
                </c:pt>
                <c:pt idx="97">
                  <c:v>199400</c:v>
                </c:pt>
                <c:pt idx="98">
                  <c:v>76025</c:v>
                </c:pt>
                <c:pt idx="99">
                  <c:v>148080</c:v>
                </c:pt>
                <c:pt idx="100">
                  <c:v>86100</c:v>
                </c:pt>
                <c:pt idx="101">
                  <c:v>42625</c:v>
                </c:pt>
                <c:pt idx="102">
                  <c:v>71025</c:v>
                </c:pt>
                <c:pt idx="103">
                  <c:v>188690</c:v>
                </c:pt>
                <c:pt idx="104">
                  <c:v>202725</c:v>
                </c:pt>
                <c:pt idx="105">
                  <c:v>271607.5</c:v>
                </c:pt>
                <c:pt idx="106">
                  <c:v>132810</c:v>
                </c:pt>
                <c:pt idx="107">
                  <c:v>68000</c:v>
                </c:pt>
                <c:pt idx="108">
                  <c:v>83650</c:v>
                </c:pt>
                <c:pt idx="109">
                  <c:v>1082135</c:v>
                </c:pt>
                <c:pt idx="110">
                  <c:v>88250</c:v>
                </c:pt>
                <c:pt idx="111">
                  <c:v>153200</c:v>
                </c:pt>
                <c:pt idx="112">
                  <c:v>208700</c:v>
                </c:pt>
                <c:pt idx="114">
                  <c:v>10690</c:v>
                </c:pt>
                <c:pt idx="115">
                  <c:v>350710</c:v>
                </c:pt>
                <c:pt idx="116">
                  <c:v>318825.5</c:v>
                </c:pt>
                <c:pt idx="117">
                  <c:v>88000</c:v>
                </c:pt>
                <c:pt idx="118">
                  <c:v>-57000</c:v>
                </c:pt>
                <c:pt idx="119">
                  <c:v>123100</c:v>
                </c:pt>
                <c:pt idx="120">
                  <c:v>67950</c:v>
                </c:pt>
                <c:pt idx="121">
                  <c:v>79237.5</c:v>
                </c:pt>
                <c:pt idx="122">
                  <c:v>73650</c:v>
                </c:pt>
                <c:pt idx="123">
                  <c:v>5500</c:v>
                </c:pt>
                <c:pt idx="124">
                  <c:v>125800</c:v>
                </c:pt>
                <c:pt idx="125">
                  <c:v>329900</c:v>
                </c:pt>
                <c:pt idx="126">
                  <c:v>34400</c:v>
                </c:pt>
                <c:pt idx="127">
                  <c:v>91230</c:v>
                </c:pt>
                <c:pt idx="128">
                  <c:v>993070</c:v>
                </c:pt>
                <c:pt idx="129">
                  <c:v>30800</c:v>
                </c:pt>
                <c:pt idx="130">
                  <c:v>603752.5</c:v>
                </c:pt>
                <c:pt idx="131">
                  <c:v>317780</c:v>
                </c:pt>
                <c:pt idx="132">
                  <c:v>20600</c:v>
                </c:pt>
                <c:pt idx="133">
                  <c:v>76150</c:v>
                </c:pt>
                <c:pt idx="134">
                  <c:v>113830</c:v>
                </c:pt>
                <c:pt idx="135">
                  <c:v>85800</c:v>
                </c:pt>
                <c:pt idx="136">
                  <c:v>61890</c:v>
                </c:pt>
                <c:pt idx="137">
                  <c:v>203500</c:v>
                </c:pt>
                <c:pt idx="138">
                  <c:v>279191.5</c:v>
                </c:pt>
                <c:pt idx="139">
                  <c:v>600447.5</c:v>
                </c:pt>
                <c:pt idx="140">
                  <c:v>113200</c:v>
                </c:pt>
                <c:pt idx="141">
                  <c:v>108775</c:v>
                </c:pt>
                <c:pt idx="142">
                  <c:v>495050</c:v>
                </c:pt>
                <c:pt idx="143">
                  <c:v>786390</c:v>
                </c:pt>
                <c:pt idx="144">
                  <c:v>515340</c:v>
                </c:pt>
                <c:pt idx="145">
                  <c:v>144400</c:v>
                </c:pt>
                <c:pt idx="146">
                  <c:v>139500</c:v>
                </c:pt>
                <c:pt idx="147">
                  <c:v>136775</c:v>
                </c:pt>
                <c:pt idx="148">
                  <c:v>264875</c:v>
                </c:pt>
                <c:pt idx="149">
                  <c:v>142800</c:v>
                </c:pt>
                <c:pt idx="150">
                  <c:v>80685</c:v>
                </c:pt>
                <c:pt idx="151">
                  <c:v>283540</c:v>
                </c:pt>
                <c:pt idx="152">
                  <c:v>368833.75</c:v>
                </c:pt>
                <c:pt idx="153">
                  <c:v>488500</c:v>
                </c:pt>
                <c:pt idx="154">
                  <c:v>164800</c:v>
                </c:pt>
                <c:pt idx="155">
                  <c:v>212612.5</c:v>
                </c:pt>
                <c:pt idx="156">
                  <c:v>121750</c:v>
                </c:pt>
                <c:pt idx="157">
                  <c:v>86000</c:v>
                </c:pt>
                <c:pt idx="158">
                  <c:v>28500</c:v>
                </c:pt>
                <c:pt idx="159">
                  <c:v>31500</c:v>
                </c:pt>
                <c:pt idx="160">
                  <c:v>0</c:v>
                </c:pt>
                <c:pt idx="161">
                  <c:v>54500</c:v>
                </c:pt>
                <c:pt idx="162">
                  <c:v>72950</c:v>
                </c:pt>
                <c:pt idx="163">
                  <c:v>7500</c:v>
                </c:pt>
                <c:pt idx="164">
                  <c:v>157500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6-4555-865B-6D70E9CB68F2}"/>
            </c:ext>
          </c:extLst>
        </c:ser>
        <c:ser>
          <c:idx val="2"/>
          <c:order val="2"/>
          <c:tx>
            <c:strRef>
              <c:f>Hoja1!$A$13</c:f>
              <c:strCache>
                <c:ptCount val="1"/>
                <c:pt idx="0">
                  <c:v>SERVICIOS A LA PRODUCCION</c:v>
                </c:pt>
              </c:strCache>
            </c:strRef>
          </c:tx>
          <c:cat>
            <c:strRef>
              <c:f>Hoja1!$C$9:$FK$9</c:f>
              <c:strCache>
                <c:ptCount val="16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  <c:pt idx="156">
                  <c:v>ENERO</c:v>
                </c:pt>
                <c:pt idx="157">
                  <c:v>FEBRERO</c:v>
                </c:pt>
                <c:pt idx="158">
                  <c:v>MARZO</c:v>
                </c:pt>
                <c:pt idx="159">
                  <c:v>ABRIL</c:v>
                </c:pt>
                <c:pt idx="160">
                  <c:v>MAYO</c:v>
                </c:pt>
                <c:pt idx="161">
                  <c:v>JUNIO</c:v>
                </c:pt>
                <c:pt idx="162">
                  <c:v>JULIO</c:v>
                </c:pt>
                <c:pt idx="163">
                  <c:v>AGOSTO</c:v>
                </c:pt>
                <c:pt idx="164">
                  <c:v>SEPTIEMBRE</c:v>
                </c:pt>
              </c:strCache>
            </c:strRef>
          </c:cat>
          <c:val>
            <c:numRef>
              <c:f>Hoja1!$C$13:$FK$13</c:f>
              <c:numCache>
                <c:formatCode>_(* #,##0.00_);_(* \(#,##0.00\);_(* "-"??_);_(@_)</c:formatCode>
                <c:ptCount val="165"/>
                <c:pt idx="0">
                  <c:v>1378321.08</c:v>
                </c:pt>
                <c:pt idx="1">
                  <c:v>2093963.53</c:v>
                </c:pt>
                <c:pt idx="2">
                  <c:v>1833303.67</c:v>
                </c:pt>
                <c:pt idx="3">
                  <c:v>1187537.8399999999</c:v>
                </c:pt>
                <c:pt idx="4">
                  <c:v>2574870.4799999995</c:v>
                </c:pt>
                <c:pt idx="5">
                  <c:v>3466928.34</c:v>
                </c:pt>
                <c:pt idx="6">
                  <c:v>1850729.4300000002</c:v>
                </c:pt>
                <c:pt idx="7">
                  <c:v>2559616.5699999994</c:v>
                </c:pt>
                <c:pt idx="8">
                  <c:v>1390280.4499999993</c:v>
                </c:pt>
                <c:pt idx="9">
                  <c:v>2062026.2399999993</c:v>
                </c:pt>
                <c:pt idx="10">
                  <c:v>2754378.9499999955</c:v>
                </c:pt>
                <c:pt idx="11">
                  <c:v>2197235.2100000009</c:v>
                </c:pt>
                <c:pt idx="12">
                  <c:v>1995520.07</c:v>
                </c:pt>
                <c:pt idx="13">
                  <c:v>4681488.95</c:v>
                </c:pt>
                <c:pt idx="14">
                  <c:v>2327790.1899999976</c:v>
                </c:pt>
                <c:pt idx="15">
                  <c:v>1757458.9699999988</c:v>
                </c:pt>
                <c:pt idx="16">
                  <c:v>1944497.0399999991</c:v>
                </c:pt>
                <c:pt idx="17">
                  <c:v>3452394.7600000203</c:v>
                </c:pt>
                <c:pt idx="18">
                  <c:v>2591451.9399999976</c:v>
                </c:pt>
                <c:pt idx="19">
                  <c:v>4410920.3599999985</c:v>
                </c:pt>
                <c:pt idx="20">
                  <c:v>1428510.229999993</c:v>
                </c:pt>
                <c:pt idx="21">
                  <c:v>2575079.9600000009</c:v>
                </c:pt>
                <c:pt idx="22">
                  <c:v>1434013.5900000036</c:v>
                </c:pt>
                <c:pt idx="23">
                  <c:v>2192339.669999999</c:v>
                </c:pt>
                <c:pt idx="24">
                  <c:v>1325333.7199999997</c:v>
                </c:pt>
                <c:pt idx="25">
                  <c:v>2080447.57</c:v>
                </c:pt>
                <c:pt idx="26">
                  <c:v>1898586.2899999998</c:v>
                </c:pt>
                <c:pt idx="27">
                  <c:v>1613256.799999997</c:v>
                </c:pt>
                <c:pt idx="28">
                  <c:v>1424338.9199999981</c:v>
                </c:pt>
                <c:pt idx="29">
                  <c:v>2029026.5899999961</c:v>
                </c:pt>
                <c:pt idx="30">
                  <c:v>2281357</c:v>
                </c:pt>
                <c:pt idx="31">
                  <c:v>2378136.58</c:v>
                </c:pt>
                <c:pt idx="32">
                  <c:v>1462196.75</c:v>
                </c:pt>
                <c:pt idx="33">
                  <c:v>2938765.3999999985</c:v>
                </c:pt>
                <c:pt idx="34">
                  <c:v>2065930.1800000072</c:v>
                </c:pt>
                <c:pt idx="35">
                  <c:v>2526732.7599999905</c:v>
                </c:pt>
                <c:pt idx="36">
                  <c:v>1688805.6099999994</c:v>
                </c:pt>
                <c:pt idx="37">
                  <c:v>1435391.36</c:v>
                </c:pt>
                <c:pt idx="38">
                  <c:v>2422528.12</c:v>
                </c:pt>
                <c:pt idx="39">
                  <c:v>2025505.3900000006</c:v>
                </c:pt>
                <c:pt idx="40">
                  <c:v>1925769.6900000004</c:v>
                </c:pt>
                <c:pt idx="41">
                  <c:v>2119827.1699999981</c:v>
                </c:pt>
                <c:pt idx="42">
                  <c:v>1987226.8099999949</c:v>
                </c:pt>
                <c:pt idx="43">
                  <c:v>1730757.8200000003</c:v>
                </c:pt>
                <c:pt idx="44">
                  <c:v>2438079.1100000069</c:v>
                </c:pt>
                <c:pt idx="45">
                  <c:v>2310348.0900000036</c:v>
                </c:pt>
                <c:pt idx="46">
                  <c:v>2169874.5999999996</c:v>
                </c:pt>
                <c:pt idx="47">
                  <c:v>2585999.7700000033</c:v>
                </c:pt>
                <c:pt idx="48">
                  <c:v>1402641</c:v>
                </c:pt>
                <c:pt idx="49">
                  <c:v>316256.24</c:v>
                </c:pt>
                <c:pt idx="50">
                  <c:v>3975824.18</c:v>
                </c:pt>
                <c:pt idx="51">
                  <c:v>2720337.17</c:v>
                </c:pt>
                <c:pt idx="52">
                  <c:v>3052026.18</c:v>
                </c:pt>
                <c:pt idx="53">
                  <c:v>1949826.7399999984</c:v>
                </c:pt>
                <c:pt idx="54">
                  <c:v>2426957.1</c:v>
                </c:pt>
                <c:pt idx="55">
                  <c:v>3370406.0799999991</c:v>
                </c:pt>
                <c:pt idx="56">
                  <c:v>2458081.2300000004</c:v>
                </c:pt>
                <c:pt idx="57">
                  <c:v>2779223.5600000005</c:v>
                </c:pt>
                <c:pt idx="58">
                  <c:v>3277074.9899999984</c:v>
                </c:pt>
                <c:pt idx="59">
                  <c:v>1832323.9499999955</c:v>
                </c:pt>
                <c:pt idx="60">
                  <c:v>1305166.96</c:v>
                </c:pt>
                <c:pt idx="61">
                  <c:v>1008735.82</c:v>
                </c:pt>
                <c:pt idx="62">
                  <c:v>2868576.89</c:v>
                </c:pt>
                <c:pt idx="63">
                  <c:v>2544470.5999999978</c:v>
                </c:pt>
                <c:pt idx="64">
                  <c:v>1847421.6400000001</c:v>
                </c:pt>
                <c:pt idx="65">
                  <c:v>3822501.5</c:v>
                </c:pt>
                <c:pt idx="66">
                  <c:v>1396388.6699999981</c:v>
                </c:pt>
                <c:pt idx="67">
                  <c:v>2031857.5299999993</c:v>
                </c:pt>
                <c:pt idx="68">
                  <c:v>1759951.1400000006</c:v>
                </c:pt>
                <c:pt idx="69">
                  <c:v>5053462.2100000009</c:v>
                </c:pt>
                <c:pt idx="70">
                  <c:v>5146621.3500000015</c:v>
                </c:pt>
                <c:pt idx="71">
                  <c:v>1661336.1499999985</c:v>
                </c:pt>
                <c:pt idx="72">
                  <c:v>1433671.3</c:v>
                </c:pt>
                <c:pt idx="73">
                  <c:v>1656649.17</c:v>
                </c:pt>
                <c:pt idx="74">
                  <c:v>2594420.3399999989</c:v>
                </c:pt>
                <c:pt idx="75">
                  <c:v>1513699.5799999996</c:v>
                </c:pt>
                <c:pt idx="76">
                  <c:v>4202903.99</c:v>
                </c:pt>
                <c:pt idx="77">
                  <c:v>2320375.6700000018</c:v>
                </c:pt>
                <c:pt idx="78">
                  <c:v>2187669.1500000004</c:v>
                </c:pt>
                <c:pt idx="79">
                  <c:v>1741428.2099999974</c:v>
                </c:pt>
                <c:pt idx="80">
                  <c:v>1007425.1300000008</c:v>
                </c:pt>
                <c:pt idx="81">
                  <c:v>3374914.4700000007</c:v>
                </c:pt>
                <c:pt idx="82">
                  <c:v>1761447.5900000024</c:v>
                </c:pt>
                <c:pt idx="83">
                  <c:v>1270882.9299999983</c:v>
                </c:pt>
                <c:pt idx="84">
                  <c:v>3171421.02</c:v>
                </c:pt>
                <c:pt idx="85">
                  <c:v>1903017.24</c:v>
                </c:pt>
                <c:pt idx="86">
                  <c:v>2844943.0300000003</c:v>
                </c:pt>
                <c:pt idx="87">
                  <c:v>6216241.049999997</c:v>
                </c:pt>
                <c:pt idx="88">
                  <c:v>3932174.64</c:v>
                </c:pt>
                <c:pt idx="89">
                  <c:v>2728283.25</c:v>
                </c:pt>
                <c:pt idx="90">
                  <c:v>4645703.1300000008</c:v>
                </c:pt>
                <c:pt idx="91">
                  <c:v>2244669.2999999998</c:v>
                </c:pt>
                <c:pt idx="92">
                  <c:v>2715178.0000000056</c:v>
                </c:pt>
                <c:pt idx="93">
                  <c:v>4204888.5</c:v>
                </c:pt>
                <c:pt idx="94">
                  <c:v>6854726.9699999988</c:v>
                </c:pt>
                <c:pt idx="95">
                  <c:v>2442056.1</c:v>
                </c:pt>
                <c:pt idx="96">
                  <c:v>2418199.5500000003</c:v>
                </c:pt>
                <c:pt idx="97">
                  <c:v>907934.45</c:v>
                </c:pt>
                <c:pt idx="98">
                  <c:v>5940846.9700000007</c:v>
                </c:pt>
                <c:pt idx="99">
                  <c:v>6769025.2999999998</c:v>
                </c:pt>
                <c:pt idx="100">
                  <c:v>3308324.76</c:v>
                </c:pt>
                <c:pt idx="101">
                  <c:v>6216709.8700000001</c:v>
                </c:pt>
                <c:pt idx="102">
                  <c:v>2760480.47</c:v>
                </c:pt>
                <c:pt idx="103">
                  <c:v>4962011.83</c:v>
                </c:pt>
                <c:pt idx="104">
                  <c:v>4486187.49</c:v>
                </c:pt>
                <c:pt idx="105">
                  <c:v>4678762.1400000006</c:v>
                </c:pt>
                <c:pt idx="106">
                  <c:v>4665150.5500000007</c:v>
                </c:pt>
                <c:pt idx="107">
                  <c:v>3102651.3699999992</c:v>
                </c:pt>
                <c:pt idx="108">
                  <c:v>632904.53</c:v>
                </c:pt>
                <c:pt idx="109">
                  <c:v>1608142.39</c:v>
                </c:pt>
                <c:pt idx="110">
                  <c:v>832607.52000000014</c:v>
                </c:pt>
                <c:pt idx="111">
                  <c:v>9278827.9299999997</c:v>
                </c:pt>
                <c:pt idx="112">
                  <c:v>4182665.93</c:v>
                </c:pt>
                <c:pt idx="113">
                  <c:v>-13577.68</c:v>
                </c:pt>
                <c:pt idx="114">
                  <c:v>222307.71</c:v>
                </c:pt>
                <c:pt idx="115">
                  <c:v>2886581.6799999997</c:v>
                </c:pt>
                <c:pt idx="116">
                  <c:v>3291170.1000000006</c:v>
                </c:pt>
                <c:pt idx="117">
                  <c:v>1921124.8399999999</c:v>
                </c:pt>
                <c:pt idx="118">
                  <c:v>10538412.039999999</c:v>
                </c:pt>
                <c:pt idx="119">
                  <c:v>-115434.21999999881</c:v>
                </c:pt>
                <c:pt idx="120">
                  <c:v>785028.74000000011</c:v>
                </c:pt>
                <c:pt idx="121">
                  <c:v>4576250.6900000004</c:v>
                </c:pt>
                <c:pt idx="122">
                  <c:v>2109768.2199999997</c:v>
                </c:pt>
                <c:pt idx="123">
                  <c:v>8127979.9100000001</c:v>
                </c:pt>
                <c:pt idx="124">
                  <c:v>2296461.81</c:v>
                </c:pt>
                <c:pt idx="125">
                  <c:v>4632841.5200000005</c:v>
                </c:pt>
                <c:pt idx="126">
                  <c:v>7110797.7300000004</c:v>
                </c:pt>
                <c:pt idx="127">
                  <c:v>4238662.5599999996</c:v>
                </c:pt>
                <c:pt idx="128">
                  <c:v>9286357.1499999985</c:v>
                </c:pt>
                <c:pt idx="129">
                  <c:v>2039953.35</c:v>
                </c:pt>
                <c:pt idx="130">
                  <c:v>5215640.9499999993</c:v>
                </c:pt>
                <c:pt idx="131">
                  <c:v>2887795.200000003</c:v>
                </c:pt>
                <c:pt idx="132">
                  <c:v>2944748.24</c:v>
                </c:pt>
                <c:pt idx="133">
                  <c:v>4952755.1900000004</c:v>
                </c:pt>
                <c:pt idx="134">
                  <c:v>4203880.3100000005</c:v>
                </c:pt>
                <c:pt idx="135">
                  <c:v>3110610.29</c:v>
                </c:pt>
                <c:pt idx="136">
                  <c:v>2307030.7000000002</c:v>
                </c:pt>
                <c:pt idx="137">
                  <c:v>2244044.6700000009</c:v>
                </c:pt>
                <c:pt idx="138">
                  <c:v>6150033.3599999994</c:v>
                </c:pt>
                <c:pt idx="139">
                  <c:v>9464249.6099999994</c:v>
                </c:pt>
                <c:pt idx="140">
                  <c:v>4458494.3699999992</c:v>
                </c:pt>
                <c:pt idx="141">
                  <c:v>3826865.6100000003</c:v>
                </c:pt>
                <c:pt idx="142">
                  <c:v>2164794.129999999</c:v>
                </c:pt>
                <c:pt idx="143">
                  <c:v>9427026.8599999994</c:v>
                </c:pt>
                <c:pt idx="144">
                  <c:v>1416426.48</c:v>
                </c:pt>
                <c:pt idx="145">
                  <c:v>15634583.76</c:v>
                </c:pt>
                <c:pt idx="146">
                  <c:v>3550679.67</c:v>
                </c:pt>
                <c:pt idx="147">
                  <c:v>9317781.8200000003</c:v>
                </c:pt>
                <c:pt idx="148">
                  <c:v>4626999.9800000004</c:v>
                </c:pt>
                <c:pt idx="149">
                  <c:v>5327168.96</c:v>
                </c:pt>
                <c:pt idx="150">
                  <c:v>3412511.4399999995</c:v>
                </c:pt>
                <c:pt idx="151">
                  <c:v>8667564.629999999</c:v>
                </c:pt>
                <c:pt idx="152">
                  <c:v>4316834.63</c:v>
                </c:pt>
                <c:pt idx="153">
                  <c:v>5220743.18</c:v>
                </c:pt>
                <c:pt idx="154">
                  <c:v>7030370.1999999993</c:v>
                </c:pt>
                <c:pt idx="155">
                  <c:v>9422385.6499999985</c:v>
                </c:pt>
                <c:pt idx="156">
                  <c:v>2442967.2999999998</c:v>
                </c:pt>
                <c:pt idx="157">
                  <c:v>10326508.210000001</c:v>
                </c:pt>
                <c:pt idx="158">
                  <c:v>1842944.12</c:v>
                </c:pt>
                <c:pt idx="159">
                  <c:v>7591090.1300000008</c:v>
                </c:pt>
                <c:pt idx="160">
                  <c:v>6444151.5800000001</c:v>
                </c:pt>
                <c:pt idx="161">
                  <c:v>2968366.5700000003</c:v>
                </c:pt>
                <c:pt idx="162">
                  <c:v>7801081.6899999995</c:v>
                </c:pt>
                <c:pt idx="163">
                  <c:v>6533770.1400000006</c:v>
                </c:pt>
                <c:pt idx="164">
                  <c:v>4222562.1300000027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6-4555-865B-6D70E9CB68F2}"/>
            </c:ext>
          </c:extLst>
        </c:ser>
        <c:ser>
          <c:idx val="4"/>
          <c:order val="3"/>
          <c:tx>
            <c:strRef>
              <c:f>Hoja1!$A$15</c:f>
              <c:strCache>
                <c:ptCount val="1"/>
                <c:pt idx="0">
                  <c:v>SPOTS</c:v>
                </c:pt>
              </c:strCache>
            </c:strRef>
          </c:tx>
          <c:spPr>
            <a:ln cap="sq" cmpd="sng"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Hoja1!$C$9:$FK$9</c:f>
              <c:strCache>
                <c:ptCount val="16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  <c:pt idx="156">
                  <c:v>ENERO</c:v>
                </c:pt>
                <c:pt idx="157">
                  <c:v>FEBRERO</c:v>
                </c:pt>
                <c:pt idx="158">
                  <c:v>MARZO</c:v>
                </c:pt>
                <c:pt idx="159">
                  <c:v>ABRIL</c:v>
                </c:pt>
                <c:pt idx="160">
                  <c:v>MAYO</c:v>
                </c:pt>
                <c:pt idx="161">
                  <c:v>JUNIO</c:v>
                </c:pt>
                <c:pt idx="162">
                  <c:v>JULIO</c:v>
                </c:pt>
                <c:pt idx="163">
                  <c:v>AGOSTO</c:v>
                </c:pt>
                <c:pt idx="164">
                  <c:v>SEPTIEMBRE</c:v>
                </c:pt>
              </c:strCache>
            </c:strRef>
          </c:cat>
          <c:val>
            <c:numRef>
              <c:f>Hoja1!$C$15:$FK$15</c:f>
              <c:numCache>
                <c:formatCode>_(* #,##0.00_);_(* \(#,##0.00\);_(* "-"??_);_(@_)</c:formatCode>
                <c:ptCount val="165"/>
                <c:pt idx="0">
                  <c:v>0</c:v>
                </c:pt>
                <c:pt idx="1">
                  <c:v>0</c:v>
                </c:pt>
                <c:pt idx="2">
                  <c:v>1480000</c:v>
                </c:pt>
                <c:pt idx="3">
                  <c:v>1512174.23</c:v>
                </c:pt>
                <c:pt idx="4">
                  <c:v>3531229.93</c:v>
                </c:pt>
                <c:pt idx="5">
                  <c:v>4446245.05</c:v>
                </c:pt>
                <c:pt idx="6">
                  <c:v>172413.79</c:v>
                </c:pt>
                <c:pt idx="7">
                  <c:v>5581569.6100000003</c:v>
                </c:pt>
                <c:pt idx="8">
                  <c:v>13106239.380000001</c:v>
                </c:pt>
                <c:pt idx="9">
                  <c:v>6842426.3699999992</c:v>
                </c:pt>
                <c:pt idx="10">
                  <c:v>34596446.490000002</c:v>
                </c:pt>
                <c:pt idx="11">
                  <c:v>44567938.049999997</c:v>
                </c:pt>
                <c:pt idx="12">
                  <c:v>0</c:v>
                </c:pt>
                <c:pt idx="13">
                  <c:v>539870.69999999995</c:v>
                </c:pt>
                <c:pt idx="14">
                  <c:v>40731348.520000003</c:v>
                </c:pt>
                <c:pt idx="15">
                  <c:v>40700339.07</c:v>
                </c:pt>
                <c:pt idx="16">
                  <c:v>47874605.709999993</c:v>
                </c:pt>
                <c:pt idx="17">
                  <c:v>142196943.08999997</c:v>
                </c:pt>
                <c:pt idx="18">
                  <c:v>220085312.69999999</c:v>
                </c:pt>
                <c:pt idx="19">
                  <c:v>-5766291.7800000012</c:v>
                </c:pt>
                <c:pt idx="20">
                  <c:v>17515135.120000005</c:v>
                </c:pt>
                <c:pt idx="21">
                  <c:v>23961584.75</c:v>
                </c:pt>
                <c:pt idx="22">
                  <c:v>48114859.219999999</c:v>
                </c:pt>
                <c:pt idx="23">
                  <c:v>4474517.6099999994</c:v>
                </c:pt>
                <c:pt idx="24">
                  <c:v>1688966.31</c:v>
                </c:pt>
                <c:pt idx="25">
                  <c:v>1099311.1400000001</c:v>
                </c:pt>
                <c:pt idx="26">
                  <c:v>1832368.9699999997</c:v>
                </c:pt>
                <c:pt idx="27">
                  <c:v>39619900.75</c:v>
                </c:pt>
                <c:pt idx="28">
                  <c:v>22143716.140000001</c:v>
                </c:pt>
                <c:pt idx="29">
                  <c:v>38006403.090000004</c:v>
                </c:pt>
                <c:pt idx="30">
                  <c:v>30615488.59</c:v>
                </c:pt>
                <c:pt idx="31">
                  <c:v>11301774.08</c:v>
                </c:pt>
                <c:pt idx="32">
                  <c:v>32675381.359999999</c:v>
                </c:pt>
                <c:pt idx="33">
                  <c:v>65606618.260000005</c:v>
                </c:pt>
                <c:pt idx="34">
                  <c:v>86212726.939999998</c:v>
                </c:pt>
                <c:pt idx="35">
                  <c:v>240642845.49000001</c:v>
                </c:pt>
                <c:pt idx="36">
                  <c:v>80236963.659999996</c:v>
                </c:pt>
                <c:pt idx="37">
                  <c:v>-3050269.25</c:v>
                </c:pt>
                <c:pt idx="38">
                  <c:v>0</c:v>
                </c:pt>
                <c:pt idx="39">
                  <c:v>3675729.01</c:v>
                </c:pt>
                <c:pt idx="40">
                  <c:v>5061533.34</c:v>
                </c:pt>
                <c:pt idx="41">
                  <c:v>-28962159.849999998</c:v>
                </c:pt>
                <c:pt idx="42">
                  <c:v>37182697.950000003</c:v>
                </c:pt>
                <c:pt idx="43">
                  <c:v>28966282.299999997</c:v>
                </c:pt>
                <c:pt idx="44">
                  <c:v>34211260.479999997</c:v>
                </c:pt>
                <c:pt idx="45">
                  <c:v>28066823.829999998</c:v>
                </c:pt>
                <c:pt idx="46">
                  <c:v>11618998.25</c:v>
                </c:pt>
                <c:pt idx="47">
                  <c:v>48390543.329999998</c:v>
                </c:pt>
                <c:pt idx="48">
                  <c:v>10012837.76</c:v>
                </c:pt>
                <c:pt idx="49">
                  <c:v>5000</c:v>
                </c:pt>
                <c:pt idx="50">
                  <c:v>781862.07</c:v>
                </c:pt>
                <c:pt idx="51">
                  <c:v>23582649.859999999</c:v>
                </c:pt>
                <c:pt idx="52">
                  <c:v>500000</c:v>
                </c:pt>
                <c:pt idx="53">
                  <c:v>14951327.630000001</c:v>
                </c:pt>
                <c:pt idx="54">
                  <c:v>1566262</c:v>
                </c:pt>
                <c:pt idx="55">
                  <c:v>6543923.6100000003</c:v>
                </c:pt>
                <c:pt idx="56">
                  <c:v>10940428.279999999</c:v>
                </c:pt>
                <c:pt idx="57">
                  <c:v>7697819.4199999999</c:v>
                </c:pt>
                <c:pt idx="58">
                  <c:v>30716515.09</c:v>
                </c:pt>
                <c:pt idx="59">
                  <c:v>39916169.460000001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14980457.59</c:v>
                </c:pt>
                <c:pt idx="64">
                  <c:v>882675.86</c:v>
                </c:pt>
                <c:pt idx="65">
                  <c:v>9856559.8017241377</c:v>
                </c:pt>
                <c:pt idx="66">
                  <c:v>16423123.27</c:v>
                </c:pt>
                <c:pt idx="67">
                  <c:v>7600350.75</c:v>
                </c:pt>
                <c:pt idx="68">
                  <c:v>24062400.550000001</c:v>
                </c:pt>
                <c:pt idx="69">
                  <c:v>18810063.655172415</c:v>
                </c:pt>
                <c:pt idx="70">
                  <c:v>54740881.862068973</c:v>
                </c:pt>
                <c:pt idx="71">
                  <c:v>44552280.719999999</c:v>
                </c:pt>
                <c:pt idx="72">
                  <c:v>0</c:v>
                </c:pt>
                <c:pt idx="73">
                  <c:v>6000</c:v>
                </c:pt>
                <c:pt idx="74">
                  <c:v>8800661.4100000001</c:v>
                </c:pt>
                <c:pt idx="75">
                  <c:v>855680</c:v>
                </c:pt>
                <c:pt idx="76">
                  <c:v>1207664.7</c:v>
                </c:pt>
                <c:pt idx="77">
                  <c:v>14640804.539999999</c:v>
                </c:pt>
                <c:pt idx="78">
                  <c:v>7540000</c:v>
                </c:pt>
                <c:pt idx="79">
                  <c:v>28120727.030000001</c:v>
                </c:pt>
                <c:pt idx="80">
                  <c:v>10431034.439999999</c:v>
                </c:pt>
                <c:pt idx="81">
                  <c:v>12869596.039999999</c:v>
                </c:pt>
                <c:pt idx="82">
                  <c:v>16575528.619999999</c:v>
                </c:pt>
                <c:pt idx="83">
                  <c:v>99651655.590000004</c:v>
                </c:pt>
                <c:pt idx="84">
                  <c:v>0</c:v>
                </c:pt>
                <c:pt idx="87">
                  <c:v>35052494.490000002</c:v>
                </c:pt>
                <c:pt idx="88">
                  <c:v>88613.28</c:v>
                </c:pt>
                <c:pt idx="89">
                  <c:v>0</c:v>
                </c:pt>
                <c:pt idx="90">
                  <c:v>3985444.69</c:v>
                </c:pt>
                <c:pt idx="91">
                  <c:v>4310344.83</c:v>
                </c:pt>
                <c:pt idx="92">
                  <c:v>58863657.229999997</c:v>
                </c:pt>
                <c:pt idx="93">
                  <c:v>33023707.07</c:v>
                </c:pt>
                <c:pt idx="94">
                  <c:v>37262921.560000002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1000000</c:v>
                </c:pt>
                <c:pt idx="103">
                  <c:v>3250000</c:v>
                </c:pt>
                <c:pt idx="104">
                  <c:v>9521500</c:v>
                </c:pt>
                <c:pt idx="105">
                  <c:v>2330650.86</c:v>
                </c:pt>
                <c:pt idx="106">
                  <c:v>21173079.82</c:v>
                </c:pt>
                <c:pt idx="107">
                  <c:v>10227770.119999999</c:v>
                </c:pt>
                <c:pt idx="114">
                  <c:v>4094827.58</c:v>
                </c:pt>
                <c:pt idx="115">
                  <c:v>7000000</c:v>
                </c:pt>
                <c:pt idx="116">
                  <c:v>294443.96000000002</c:v>
                </c:pt>
                <c:pt idx="117">
                  <c:v>8000000</c:v>
                </c:pt>
                <c:pt idx="118">
                  <c:v>9181034.4800000004</c:v>
                </c:pt>
                <c:pt idx="119">
                  <c:v>29495910</c:v>
                </c:pt>
                <c:pt idx="120">
                  <c:v>0</c:v>
                </c:pt>
                <c:pt idx="124">
                  <c:v>2586206.9</c:v>
                </c:pt>
                <c:pt idx="125">
                  <c:v>1862068.96</c:v>
                </c:pt>
                <c:pt idx="126">
                  <c:v>1000000</c:v>
                </c:pt>
                <c:pt idx="128">
                  <c:v>5787285.7999999998</c:v>
                </c:pt>
                <c:pt idx="129">
                  <c:v>1296525</c:v>
                </c:pt>
                <c:pt idx="130">
                  <c:v>7775862.0700000003</c:v>
                </c:pt>
                <c:pt idx="131">
                  <c:v>35010965.140000001</c:v>
                </c:pt>
                <c:pt idx="132">
                  <c:v>0</c:v>
                </c:pt>
                <c:pt idx="136">
                  <c:v>1250000</c:v>
                </c:pt>
                <c:pt idx="137">
                  <c:v>5476689.6399999997</c:v>
                </c:pt>
                <c:pt idx="138">
                  <c:v>2120689.64</c:v>
                </c:pt>
                <c:pt idx="139">
                  <c:v>3948275.86</c:v>
                </c:pt>
                <c:pt idx="140">
                  <c:v>4008620.69</c:v>
                </c:pt>
                <c:pt idx="141">
                  <c:v>0</c:v>
                </c:pt>
                <c:pt idx="142">
                  <c:v>27022524.129999999</c:v>
                </c:pt>
                <c:pt idx="143">
                  <c:v>13300074.32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3500000</c:v>
                </c:pt>
                <c:pt idx="149">
                  <c:v>0</c:v>
                </c:pt>
                <c:pt idx="150">
                  <c:v>5059482.76</c:v>
                </c:pt>
                <c:pt idx="151">
                  <c:v>3922413.79</c:v>
                </c:pt>
                <c:pt idx="152">
                  <c:v>1327586.21</c:v>
                </c:pt>
                <c:pt idx="153">
                  <c:v>9275862.0700000003</c:v>
                </c:pt>
                <c:pt idx="154">
                  <c:v>5379310.3399999999</c:v>
                </c:pt>
                <c:pt idx="155">
                  <c:v>31365221.030000001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1200000</c:v>
                </c:pt>
                <c:pt idx="160">
                  <c:v>1750000</c:v>
                </c:pt>
                <c:pt idx="161">
                  <c:v>14578879.32</c:v>
                </c:pt>
                <c:pt idx="162">
                  <c:v>14797374.65</c:v>
                </c:pt>
                <c:pt idx="163">
                  <c:v>9588448.2799999993</c:v>
                </c:pt>
                <c:pt idx="164">
                  <c:v>49857845.789999999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26-4555-865B-6D70E9CB68F2}"/>
            </c:ext>
          </c:extLst>
        </c:ser>
        <c:ser>
          <c:idx val="5"/>
          <c:order val="4"/>
          <c:tx>
            <c:strRef>
              <c:f>Hoja1!$A$16</c:f>
              <c:strCache>
                <c:ptCount val="1"/>
                <c:pt idx="0">
                  <c:v>DISTRIBUCION</c:v>
                </c:pt>
              </c:strCache>
            </c:strRef>
          </c:tx>
          <c:cat>
            <c:strRef>
              <c:f>Hoja1!$C$9:$FK$9</c:f>
              <c:strCache>
                <c:ptCount val="16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ENERO</c:v>
                </c:pt>
                <c:pt idx="13">
                  <c:v>FEBRERO</c:v>
                </c:pt>
                <c:pt idx="14">
                  <c:v>MARZO</c:v>
                </c:pt>
                <c:pt idx="15">
                  <c:v>ABRIL</c:v>
                </c:pt>
                <c:pt idx="16">
                  <c:v>MAYO</c:v>
                </c:pt>
                <c:pt idx="17">
                  <c:v>JUNIO</c:v>
                </c:pt>
                <c:pt idx="18">
                  <c:v>JULIO</c:v>
                </c:pt>
                <c:pt idx="19">
                  <c:v>AGOSTO</c:v>
                </c:pt>
                <c:pt idx="20">
                  <c:v>SEPTIEMBRE</c:v>
                </c:pt>
                <c:pt idx="21">
                  <c:v>OCTUBRE</c:v>
                </c:pt>
                <c:pt idx="22">
                  <c:v>NOVIEMBRE</c:v>
                </c:pt>
                <c:pt idx="23">
                  <c:v>DICIEMBRE</c:v>
                </c:pt>
                <c:pt idx="24">
                  <c:v>ENERO</c:v>
                </c:pt>
                <c:pt idx="25">
                  <c:v>FEBRERO</c:v>
                </c:pt>
                <c:pt idx="26">
                  <c:v>MARZO</c:v>
                </c:pt>
                <c:pt idx="27">
                  <c:v>ABRIL</c:v>
                </c:pt>
                <c:pt idx="28">
                  <c:v>MAYO</c:v>
                </c:pt>
                <c:pt idx="29">
                  <c:v>JUNIO</c:v>
                </c:pt>
                <c:pt idx="30">
                  <c:v>JULIO</c:v>
                </c:pt>
                <c:pt idx="31">
                  <c:v>AGOSTO</c:v>
                </c:pt>
                <c:pt idx="32">
                  <c:v>SEPTIEMBRE</c:v>
                </c:pt>
                <c:pt idx="33">
                  <c:v>OCTUBRE</c:v>
                </c:pt>
                <c:pt idx="34">
                  <c:v>NOVIEMBRE</c:v>
                </c:pt>
                <c:pt idx="35">
                  <c:v>DICIEMBRE</c:v>
                </c:pt>
                <c:pt idx="36">
                  <c:v>ENERO</c:v>
                </c:pt>
                <c:pt idx="37">
                  <c:v>FEBRERO</c:v>
                </c:pt>
                <c:pt idx="38">
                  <c:v>MARZO</c:v>
                </c:pt>
                <c:pt idx="39">
                  <c:v>ABRIL</c:v>
                </c:pt>
                <c:pt idx="40">
                  <c:v>MAYO</c:v>
                </c:pt>
                <c:pt idx="41">
                  <c:v>JUNIO</c:v>
                </c:pt>
                <c:pt idx="42">
                  <c:v>JULIO</c:v>
                </c:pt>
                <c:pt idx="43">
                  <c:v>AGOSTO</c:v>
                </c:pt>
                <c:pt idx="44">
                  <c:v>SEPTIEMBRE</c:v>
                </c:pt>
                <c:pt idx="45">
                  <c:v>OCTUBRE</c:v>
                </c:pt>
                <c:pt idx="46">
                  <c:v>NOVIEMBRE</c:v>
                </c:pt>
                <c:pt idx="47">
                  <c:v>DICIEMBRE</c:v>
                </c:pt>
                <c:pt idx="48">
                  <c:v>ENERO</c:v>
                </c:pt>
                <c:pt idx="49">
                  <c:v>FEBRERO</c:v>
                </c:pt>
                <c:pt idx="50">
                  <c:v>MARZO</c:v>
                </c:pt>
                <c:pt idx="51">
                  <c:v>ABRIL</c:v>
                </c:pt>
                <c:pt idx="52">
                  <c:v>MAYO</c:v>
                </c:pt>
                <c:pt idx="53">
                  <c:v>JUNIO</c:v>
                </c:pt>
                <c:pt idx="54">
                  <c:v>JULIO</c:v>
                </c:pt>
                <c:pt idx="55">
                  <c:v>AGOSTO</c:v>
                </c:pt>
                <c:pt idx="56">
                  <c:v>SEPTIEMBRE</c:v>
                </c:pt>
                <c:pt idx="57">
                  <c:v>OCTUBRE</c:v>
                </c:pt>
                <c:pt idx="58">
                  <c:v>NOVIEMBRE</c:v>
                </c:pt>
                <c:pt idx="59">
                  <c:v>DICIEMBRE</c:v>
                </c:pt>
                <c:pt idx="60">
                  <c:v>ENERO</c:v>
                </c:pt>
                <c:pt idx="61">
                  <c:v>FEBRERO</c:v>
                </c:pt>
                <c:pt idx="62">
                  <c:v>MARZO</c:v>
                </c:pt>
                <c:pt idx="63">
                  <c:v>ABRIL</c:v>
                </c:pt>
                <c:pt idx="64">
                  <c:v>MAYO</c:v>
                </c:pt>
                <c:pt idx="65">
                  <c:v>JUNIO</c:v>
                </c:pt>
                <c:pt idx="66">
                  <c:v>JULIO</c:v>
                </c:pt>
                <c:pt idx="67">
                  <c:v>AGOSTO</c:v>
                </c:pt>
                <c:pt idx="68">
                  <c:v>SEPTIEMBRE</c:v>
                </c:pt>
                <c:pt idx="69">
                  <c:v>OCTUBRE</c:v>
                </c:pt>
                <c:pt idx="70">
                  <c:v>NOVIEMBRE</c:v>
                </c:pt>
                <c:pt idx="71">
                  <c:v>DICIEMBRE</c:v>
                </c:pt>
                <c:pt idx="72">
                  <c:v>ENERO</c:v>
                </c:pt>
                <c:pt idx="73">
                  <c:v>FEBRERO</c:v>
                </c:pt>
                <c:pt idx="74">
                  <c:v>MARZO</c:v>
                </c:pt>
                <c:pt idx="75">
                  <c:v>ABRIL</c:v>
                </c:pt>
                <c:pt idx="76">
                  <c:v>MAYO</c:v>
                </c:pt>
                <c:pt idx="77">
                  <c:v>JUNIO</c:v>
                </c:pt>
                <c:pt idx="78">
                  <c:v>JULIO</c:v>
                </c:pt>
                <c:pt idx="79">
                  <c:v>AGOSTO</c:v>
                </c:pt>
                <c:pt idx="80">
                  <c:v>SEPTIEMBRE</c:v>
                </c:pt>
                <c:pt idx="81">
                  <c:v>OCTUBRE</c:v>
                </c:pt>
                <c:pt idx="82">
                  <c:v>NOVIEMBRE</c:v>
                </c:pt>
                <c:pt idx="83">
                  <c:v>DICIEMBRE</c:v>
                </c:pt>
                <c:pt idx="84">
                  <c:v>ENERO</c:v>
                </c:pt>
                <c:pt idx="85">
                  <c:v>FEBRERO</c:v>
                </c:pt>
                <c:pt idx="86">
                  <c:v>MARZO</c:v>
                </c:pt>
                <c:pt idx="87">
                  <c:v>ABRIL</c:v>
                </c:pt>
                <c:pt idx="88">
                  <c:v>MAYO</c:v>
                </c:pt>
                <c:pt idx="89">
                  <c:v>JUNIO</c:v>
                </c:pt>
                <c:pt idx="90">
                  <c:v>JULIO</c:v>
                </c:pt>
                <c:pt idx="91">
                  <c:v>AGOSTO</c:v>
                </c:pt>
                <c:pt idx="92">
                  <c:v>SEPTIEMBRE</c:v>
                </c:pt>
                <c:pt idx="93">
                  <c:v>OCTUBRE</c:v>
                </c:pt>
                <c:pt idx="94">
                  <c:v>NOVIEMBRE</c:v>
                </c:pt>
                <c:pt idx="95">
                  <c:v>DICIEMBRE</c:v>
                </c:pt>
                <c:pt idx="96">
                  <c:v>ENERO</c:v>
                </c:pt>
                <c:pt idx="97">
                  <c:v>FEBRERO</c:v>
                </c:pt>
                <c:pt idx="98">
                  <c:v>MARZO</c:v>
                </c:pt>
                <c:pt idx="99">
                  <c:v>ABRIL</c:v>
                </c:pt>
                <c:pt idx="100">
                  <c:v>MAYO</c:v>
                </c:pt>
                <c:pt idx="101">
                  <c:v>JUNIO</c:v>
                </c:pt>
                <c:pt idx="102">
                  <c:v>JULIO</c:v>
                </c:pt>
                <c:pt idx="103">
                  <c:v>AGOSTO</c:v>
                </c:pt>
                <c:pt idx="104">
                  <c:v>SEPTIEMBRE</c:v>
                </c:pt>
                <c:pt idx="105">
                  <c:v>OCTUBRE</c:v>
                </c:pt>
                <c:pt idx="106">
                  <c:v>NOVIEMBRE</c:v>
                </c:pt>
                <c:pt idx="107">
                  <c:v>DICIEMBRE</c:v>
                </c:pt>
                <c:pt idx="108">
                  <c:v>ENERO</c:v>
                </c:pt>
                <c:pt idx="109">
                  <c:v>FEBRERO</c:v>
                </c:pt>
                <c:pt idx="110">
                  <c:v>MARZO</c:v>
                </c:pt>
                <c:pt idx="111">
                  <c:v>ABRIL</c:v>
                </c:pt>
                <c:pt idx="112">
                  <c:v>MAYO</c:v>
                </c:pt>
                <c:pt idx="113">
                  <c:v>JUNIO</c:v>
                </c:pt>
                <c:pt idx="114">
                  <c:v>JULIO</c:v>
                </c:pt>
                <c:pt idx="115">
                  <c:v>AGOSTO</c:v>
                </c:pt>
                <c:pt idx="116">
                  <c:v>SEPTIEMBRE</c:v>
                </c:pt>
                <c:pt idx="117">
                  <c:v>OCTUBRE</c:v>
                </c:pt>
                <c:pt idx="118">
                  <c:v>NOVIEMBRE</c:v>
                </c:pt>
                <c:pt idx="119">
                  <c:v>DICIEMBRE</c:v>
                </c:pt>
                <c:pt idx="120">
                  <c:v>ENERO</c:v>
                </c:pt>
                <c:pt idx="121">
                  <c:v>FEBRERO</c:v>
                </c:pt>
                <c:pt idx="122">
                  <c:v>MARZO</c:v>
                </c:pt>
                <c:pt idx="123">
                  <c:v>ABRIL</c:v>
                </c:pt>
                <c:pt idx="124">
                  <c:v>MAYO</c:v>
                </c:pt>
                <c:pt idx="125">
                  <c:v>JUNIO</c:v>
                </c:pt>
                <c:pt idx="126">
                  <c:v>JULIO</c:v>
                </c:pt>
                <c:pt idx="127">
                  <c:v>AGOSTO</c:v>
                </c:pt>
                <c:pt idx="128">
                  <c:v>SEPTIEMBRE</c:v>
                </c:pt>
                <c:pt idx="129">
                  <c:v>OCTUBRE</c:v>
                </c:pt>
                <c:pt idx="130">
                  <c:v>NOVIEMBRE</c:v>
                </c:pt>
                <c:pt idx="131">
                  <c:v>DICIEMBRE</c:v>
                </c:pt>
                <c:pt idx="132">
                  <c:v>ENERO</c:v>
                </c:pt>
                <c:pt idx="133">
                  <c:v>FEBRERO</c:v>
                </c:pt>
                <c:pt idx="134">
                  <c:v>MARZO</c:v>
                </c:pt>
                <c:pt idx="135">
                  <c:v>ABRIL</c:v>
                </c:pt>
                <c:pt idx="136">
                  <c:v>MAYO</c:v>
                </c:pt>
                <c:pt idx="137">
                  <c:v>JUNIO</c:v>
                </c:pt>
                <c:pt idx="138">
                  <c:v>JULIO</c:v>
                </c:pt>
                <c:pt idx="139">
                  <c:v>AGOSTO</c:v>
                </c:pt>
                <c:pt idx="140">
                  <c:v>SEPTIEMBRE</c:v>
                </c:pt>
                <c:pt idx="141">
                  <c:v>OCTUBRE</c:v>
                </c:pt>
                <c:pt idx="142">
                  <c:v>NOVIEMBRE</c:v>
                </c:pt>
                <c:pt idx="143">
                  <c:v>DICIEMBRE</c:v>
                </c:pt>
                <c:pt idx="144">
                  <c:v>ENERO</c:v>
                </c:pt>
                <c:pt idx="145">
                  <c:v>FEBRERO</c:v>
                </c:pt>
                <c:pt idx="146">
                  <c:v>MARZO</c:v>
                </c:pt>
                <c:pt idx="147">
                  <c:v>ABRIL</c:v>
                </c:pt>
                <c:pt idx="148">
                  <c:v>MAYO</c:v>
                </c:pt>
                <c:pt idx="149">
                  <c:v>JUNIO</c:v>
                </c:pt>
                <c:pt idx="150">
                  <c:v>JULIO</c:v>
                </c:pt>
                <c:pt idx="151">
                  <c:v>AGOSTO</c:v>
                </c:pt>
                <c:pt idx="152">
                  <c:v>SEPTIEMBRE</c:v>
                </c:pt>
                <c:pt idx="153">
                  <c:v>OCTUBRE</c:v>
                </c:pt>
                <c:pt idx="154">
                  <c:v>NOVIEMBRE</c:v>
                </c:pt>
                <c:pt idx="155">
                  <c:v>DICIEMBRE</c:v>
                </c:pt>
                <c:pt idx="156">
                  <c:v>ENERO</c:v>
                </c:pt>
                <c:pt idx="157">
                  <c:v>FEBRERO</c:v>
                </c:pt>
                <c:pt idx="158">
                  <c:v>MARZO</c:v>
                </c:pt>
                <c:pt idx="159">
                  <c:v>ABRIL</c:v>
                </c:pt>
                <c:pt idx="160">
                  <c:v>MAYO</c:v>
                </c:pt>
                <c:pt idx="161">
                  <c:v>JUNIO</c:v>
                </c:pt>
                <c:pt idx="162">
                  <c:v>JULIO</c:v>
                </c:pt>
                <c:pt idx="163">
                  <c:v>AGOSTO</c:v>
                </c:pt>
                <c:pt idx="164">
                  <c:v>SEPTIEMBRE</c:v>
                </c:pt>
              </c:strCache>
            </c:strRef>
          </c:cat>
          <c:val>
            <c:numRef>
              <c:f>Hoja1!$C$16:$FK$16</c:f>
              <c:numCache>
                <c:formatCode>_(* #,##0.00_);_(* \(#,##0.00\);_(* "-"??_);_(@_)</c:formatCode>
                <c:ptCount val="165"/>
                <c:pt idx="0">
                  <c:v>0</c:v>
                </c:pt>
                <c:pt idx="1">
                  <c:v>2139.5899999999965</c:v>
                </c:pt>
                <c:pt idx="2">
                  <c:v>0</c:v>
                </c:pt>
                <c:pt idx="3">
                  <c:v>0</c:v>
                </c:pt>
                <c:pt idx="4">
                  <c:v>47905</c:v>
                </c:pt>
                <c:pt idx="5">
                  <c:v>4872.8599999999997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120107.15</c:v>
                </c:pt>
                <c:pt idx="12">
                  <c:v>0</c:v>
                </c:pt>
                <c:pt idx="13">
                  <c:v>4254.8100000000004</c:v>
                </c:pt>
                <c:pt idx="14">
                  <c:v>-2816.8099999999977</c:v>
                </c:pt>
                <c:pt idx="15">
                  <c:v>6717</c:v>
                </c:pt>
                <c:pt idx="16">
                  <c:v>0</c:v>
                </c:pt>
                <c:pt idx="17">
                  <c:v>5000000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-6561.74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9339.73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736.57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5374.51</c:v>
                </c:pt>
                <c:pt idx="55">
                  <c:v>0</c:v>
                </c:pt>
                <c:pt idx="56">
                  <c:v>0</c:v>
                </c:pt>
                <c:pt idx="57">
                  <c:v>94422.57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26-4555-865B-6D70E9CB6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44616"/>
        <c:axId val="462643832"/>
      </c:lineChart>
      <c:catAx>
        <c:axId val="46264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62643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643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62644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2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3"/>
        <c:txPr>
          <a:bodyPr/>
          <a:lstStyle/>
          <a:p>
            <a:pPr>
              <a:defRPr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4"/>
        <c:txPr>
          <a:bodyPr/>
          <a:lstStyle/>
          <a:p>
            <a:pPr>
              <a:defRPr lang="es-ES" sz="11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6.0082353798743493E-2"/>
          <c:y val="1.4793927334512865E-2"/>
          <c:w val="4.3781406238512864E-2"/>
          <c:h val="0.26174294624336997"/>
        </c:manualLayout>
      </c:layout>
      <c:overlay val="0"/>
      <c:spPr>
        <a:solidFill>
          <a:srgbClr val="FFFFFF"/>
        </a:solidFill>
        <a:ln w="3175">
          <a:solidFill>
            <a:srgbClr val="FF0000"/>
          </a:solidFill>
          <a:prstDash val="solid"/>
        </a:ln>
      </c:spPr>
      <c:txPr>
        <a:bodyPr/>
        <a:lstStyle/>
        <a:p>
          <a:pPr>
            <a:defRPr lang="es-ES" sz="20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77" r="0.75000000000000377" t="1" header="0" footer="0"/>
    <c:pageSetup orientation="landscape" horizontalDpi="-1" verticalDpi="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1553683</xdr:colOff>
      <xdr:row>32</xdr:row>
      <xdr:rowOff>16081</xdr:rowOff>
    </xdr:from>
    <xdr:to>
      <xdr:col>166</xdr:col>
      <xdr:colOff>1347107</xdr:colOff>
      <xdr:row>75</xdr:row>
      <xdr:rowOff>129887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nava@estudioschurubus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K84"/>
  <sheetViews>
    <sheetView tabSelected="1" zoomScale="70" zoomScaleNormal="70" workbookViewId="0">
      <pane xSplit="1" topLeftCell="EW1" activePane="topRight" state="frozenSplit"/>
      <selection pane="topRight" activeCell="FK31" sqref="FK31"/>
    </sheetView>
  </sheetViews>
  <sheetFormatPr baseColWidth="10" defaultRowHeight="12.75"/>
  <cols>
    <col min="1" max="1" width="36.5703125" customWidth="1"/>
    <col min="2" max="2" width="0.85546875" customWidth="1"/>
    <col min="3" max="114" width="20.7109375" customWidth="1"/>
    <col min="115" max="115" width="16" bestFit="1" customWidth="1"/>
    <col min="116" max="116" width="14.140625" bestFit="1" customWidth="1"/>
    <col min="117" max="117" width="16" bestFit="1" customWidth="1"/>
    <col min="118" max="118" width="17.42578125" bestFit="1" customWidth="1"/>
    <col min="119" max="119" width="16" bestFit="1" customWidth="1"/>
    <col min="120" max="167" width="20.7109375" customWidth="1"/>
  </cols>
  <sheetData>
    <row r="2" spans="1:167" ht="23.25">
      <c r="C2" s="84" t="s">
        <v>18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</row>
    <row r="3" spans="1:167" ht="23.25">
      <c r="C3" s="84" t="s">
        <v>27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</row>
    <row r="5" spans="1:167" ht="27">
      <c r="C5" s="7" t="s">
        <v>28</v>
      </c>
      <c r="D5" s="7"/>
      <c r="E5" s="7"/>
      <c r="F5" s="7"/>
    </row>
    <row r="6" spans="1:167" ht="27">
      <c r="C6" s="85" t="s">
        <v>19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</row>
    <row r="7" spans="1:167" ht="27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  <c r="S7" s="9"/>
      <c r="T7" s="9"/>
      <c r="U7" s="10"/>
      <c r="V7" s="10"/>
      <c r="W7" s="10"/>
      <c r="X7" s="20"/>
      <c r="Y7" s="20"/>
      <c r="Z7" s="20"/>
      <c r="AA7" s="20"/>
      <c r="AB7" s="20"/>
      <c r="AC7" s="20"/>
      <c r="AD7" s="20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21"/>
      <c r="AP7" s="22"/>
      <c r="AQ7" s="22"/>
      <c r="AR7" s="22"/>
      <c r="AS7" s="22"/>
      <c r="AT7" s="22"/>
      <c r="AU7" s="22"/>
      <c r="AV7" s="23"/>
      <c r="AW7" s="23"/>
      <c r="AX7" s="23"/>
      <c r="AY7" s="27"/>
      <c r="AZ7" s="27"/>
      <c r="BA7" s="27"/>
      <c r="BB7" s="28"/>
      <c r="BC7" s="28"/>
      <c r="BD7" s="28"/>
      <c r="BE7" s="29"/>
      <c r="BF7" s="29"/>
      <c r="BG7" s="29"/>
      <c r="BH7" s="30"/>
      <c r="BI7" s="30"/>
      <c r="BJ7" s="30"/>
      <c r="BK7" s="30"/>
      <c r="BL7" s="30"/>
      <c r="BM7" s="30"/>
      <c r="BN7" s="40"/>
      <c r="BO7" s="40"/>
      <c r="BP7" s="42"/>
      <c r="BQ7" s="42"/>
      <c r="BR7" s="42"/>
      <c r="BS7" s="42"/>
      <c r="BT7" s="42"/>
      <c r="BU7" s="40"/>
      <c r="BV7" s="43"/>
      <c r="BW7" s="8"/>
    </row>
    <row r="8" spans="1:167" ht="27.75" thickBot="1">
      <c r="C8" s="8">
        <v>2011</v>
      </c>
      <c r="D8" s="8">
        <v>2011</v>
      </c>
      <c r="E8" s="8">
        <v>2011</v>
      </c>
      <c r="F8" s="8">
        <v>2011</v>
      </c>
      <c r="G8" s="8">
        <v>2011</v>
      </c>
      <c r="H8" s="8">
        <v>2011</v>
      </c>
      <c r="I8" s="8">
        <v>2011</v>
      </c>
      <c r="J8" s="8">
        <v>2011</v>
      </c>
      <c r="K8" s="8">
        <v>2011</v>
      </c>
      <c r="L8" s="8">
        <v>2011</v>
      </c>
      <c r="M8" s="8">
        <v>2011</v>
      </c>
      <c r="N8" s="8">
        <v>2011</v>
      </c>
      <c r="O8" s="8">
        <v>2012</v>
      </c>
      <c r="P8" s="8">
        <v>2012</v>
      </c>
      <c r="Q8" s="8">
        <v>2012</v>
      </c>
      <c r="R8" s="9">
        <v>2012</v>
      </c>
      <c r="S8" s="9">
        <v>2012</v>
      </c>
      <c r="T8" s="9">
        <v>2012</v>
      </c>
      <c r="U8" s="10">
        <v>2012</v>
      </c>
      <c r="V8" s="10">
        <v>2012</v>
      </c>
      <c r="W8" s="10">
        <v>2012</v>
      </c>
      <c r="X8" s="20">
        <v>2012</v>
      </c>
      <c r="Y8" s="20">
        <v>2012</v>
      </c>
      <c r="Z8" s="20">
        <v>2012</v>
      </c>
      <c r="AA8" s="20">
        <v>2013</v>
      </c>
      <c r="AB8" s="20">
        <v>2013</v>
      </c>
      <c r="AC8" s="20">
        <v>2013</v>
      </c>
      <c r="AD8" s="20">
        <v>2013</v>
      </c>
      <c r="AE8" s="20">
        <v>2013</v>
      </c>
      <c r="AF8" s="20">
        <v>2013</v>
      </c>
      <c r="AG8" s="21">
        <v>2013</v>
      </c>
      <c r="AH8" s="21">
        <v>2013</v>
      </c>
      <c r="AI8" s="21">
        <v>2013</v>
      </c>
      <c r="AJ8" s="21">
        <v>2013</v>
      </c>
      <c r="AK8" s="21">
        <v>2013</v>
      </c>
      <c r="AL8" s="21">
        <v>2013</v>
      </c>
      <c r="AM8" s="21">
        <v>2014</v>
      </c>
      <c r="AN8" s="21">
        <v>2014</v>
      </c>
      <c r="AO8" s="21">
        <v>2014</v>
      </c>
      <c r="AP8" s="22">
        <v>2014</v>
      </c>
      <c r="AQ8" s="22">
        <v>2014</v>
      </c>
      <c r="AR8" s="22">
        <v>2014</v>
      </c>
      <c r="AS8" s="22">
        <v>2014</v>
      </c>
      <c r="AT8" s="22">
        <v>2014</v>
      </c>
      <c r="AU8" s="22">
        <v>2014</v>
      </c>
      <c r="AV8" s="23">
        <v>2014</v>
      </c>
      <c r="AW8" s="23">
        <v>2014</v>
      </c>
      <c r="AX8" s="23">
        <v>2014</v>
      </c>
      <c r="AY8" s="27">
        <v>2015</v>
      </c>
      <c r="AZ8" s="27">
        <v>2015</v>
      </c>
      <c r="BA8" s="27">
        <v>2015</v>
      </c>
      <c r="BB8" s="28">
        <v>2015</v>
      </c>
      <c r="BC8" s="28">
        <v>2015</v>
      </c>
      <c r="BD8" s="28">
        <v>2015</v>
      </c>
      <c r="BE8" s="29">
        <v>2015</v>
      </c>
      <c r="BF8" s="29">
        <v>2015</v>
      </c>
      <c r="BG8" s="29">
        <v>2015</v>
      </c>
      <c r="BH8" s="30">
        <v>2015</v>
      </c>
      <c r="BI8" s="30">
        <v>2015</v>
      </c>
      <c r="BJ8" s="30">
        <v>2015</v>
      </c>
      <c r="BK8" s="30">
        <v>2016</v>
      </c>
      <c r="BL8" s="30">
        <v>2016</v>
      </c>
      <c r="BM8" s="30">
        <v>2016</v>
      </c>
      <c r="BN8" s="40">
        <v>2016</v>
      </c>
      <c r="BO8" s="40">
        <v>2016</v>
      </c>
      <c r="BP8" s="42">
        <v>2016</v>
      </c>
      <c r="BQ8" s="42">
        <v>2016</v>
      </c>
      <c r="BR8" s="42">
        <v>2016</v>
      </c>
      <c r="BS8" s="42">
        <v>2016</v>
      </c>
      <c r="BT8" s="42">
        <v>2016</v>
      </c>
      <c r="BU8" s="42">
        <v>2016</v>
      </c>
      <c r="BV8" s="43">
        <v>2016</v>
      </c>
      <c r="BW8" s="43">
        <v>2017</v>
      </c>
      <c r="BX8" s="43">
        <f t="shared" ref="BX8:CH8" si="0">BW8</f>
        <v>2017</v>
      </c>
      <c r="BY8" s="43">
        <f t="shared" si="0"/>
        <v>2017</v>
      </c>
      <c r="BZ8" s="44">
        <f t="shared" si="0"/>
        <v>2017</v>
      </c>
      <c r="CA8" s="44">
        <f t="shared" si="0"/>
        <v>2017</v>
      </c>
      <c r="CB8" s="44">
        <f t="shared" si="0"/>
        <v>2017</v>
      </c>
      <c r="CC8" s="44">
        <f t="shared" si="0"/>
        <v>2017</v>
      </c>
      <c r="CD8" s="44">
        <f t="shared" si="0"/>
        <v>2017</v>
      </c>
      <c r="CE8" s="45">
        <f t="shared" si="0"/>
        <v>2017</v>
      </c>
      <c r="CF8" s="45">
        <f t="shared" si="0"/>
        <v>2017</v>
      </c>
      <c r="CG8" s="45">
        <f t="shared" si="0"/>
        <v>2017</v>
      </c>
      <c r="CH8" s="45">
        <f t="shared" si="0"/>
        <v>2017</v>
      </c>
      <c r="CI8" s="45">
        <v>2018</v>
      </c>
      <c r="CJ8" s="46">
        <v>2018</v>
      </c>
      <c r="CK8" s="46">
        <v>2018</v>
      </c>
      <c r="CL8" s="47">
        <v>2018</v>
      </c>
      <c r="CM8" s="47">
        <v>2018</v>
      </c>
      <c r="CN8" s="47">
        <v>2018</v>
      </c>
      <c r="CO8" s="47">
        <v>2018</v>
      </c>
      <c r="CP8" s="47">
        <v>2018</v>
      </c>
      <c r="CQ8" s="47">
        <v>2018</v>
      </c>
      <c r="CR8" s="48">
        <v>2018</v>
      </c>
      <c r="CS8" s="48">
        <v>2018</v>
      </c>
      <c r="CT8" s="48">
        <v>2018</v>
      </c>
      <c r="CU8" s="49">
        <v>2019</v>
      </c>
      <c r="CV8" s="49">
        <v>2019</v>
      </c>
      <c r="CW8" s="49">
        <v>2019</v>
      </c>
      <c r="CX8" s="50">
        <f t="shared" ref="CX8:DF8" si="1">CW8</f>
        <v>2019</v>
      </c>
      <c r="CY8" s="50">
        <f t="shared" si="1"/>
        <v>2019</v>
      </c>
      <c r="CZ8" s="50">
        <f t="shared" si="1"/>
        <v>2019</v>
      </c>
      <c r="DA8" s="51">
        <f t="shared" si="1"/>
        <v>2019</v>
      </c>
      <c r="DB8" s="51">
        <f t="shared" si="1"/>
        <v>2019</v>
      </c>
      <c r="DC8" s="51">
        <f t="shared" si="1"/>
        <v>2019</v>
      </c>
      <c r="DD8" s="52">
        <f t="shared" si="1"/>
        <v>2019</v>
      </c>
      <c r="DE8" s="52">
        <f t="shared" si="1"/>
        <v>2019</v>
      </c>
      <c r="DF8" s="52">
        <f t="shared" si="1"/>
        <v>2019</v>
      </c>
      <c r="DG8" s="53">
        <v>2020</v>
      </c>
      <c r="DH8" s="53">
        <v>2020</v>
      </c>
      <c r="DI8" s="53">
        <v>2020</v>
      </c>
      <c r="DJ8" s="54">
        <f t="shared" ref="DJ8" si="2">DI8</f>
        <v>2020</v>
      </c>
      <c r="DK8" s="55">
        <v>2020</v>
      </c>
      <c r="DL8" s="56">
        <v>2020</v>
      </c>
      <c r="DM8" s="56">
        <v>2020</v>
      </c>
      <c r="DN8" s="56">
        <v>2020</v>
      </c>
      <c r="DO8" s="56">
        <v>2020</v>
      </c>
      <c r="DP8" s="57">
        <f t="shared" ref="DP8:DR8" si="3">DO8</f>
        <v>2020</v>
      </c>
      <c r="DQ8" s="57">
        <f t="shared" si="3"/>
        <v>2020</v>
      </c>
      <c r="DR8" s="57">
        <f t="shared" si="3"/>
        <v>2020</v>
      </c>
      <c r="DS8" s="58">
        <v>2021</v>
      </c>
      <c r="DT8" s="59">
        <v>2021</v>
      </c>
      <c r="DU8" s="59">
        <v>2021</v>
      </c>
      <c r="DV8" s="59">
        <v>2021</v>
      </c>
      <c r="DW8" s="59">
        <v>2021</v>
      </c>
      <c r="DX8" s="59">
        <v>2021</v>
      </c>
      <c r="DY8" s="60">
        <f t="shared" ref="DY8:ED8" si="4">DX8</f>
        <v>2021</v>
      </c>
      <c r="DZ8" s="60">
        <f t="shared" si="4"/>
        <v>2021</v>
      </c>
      <c r="EA8" s="60">
        <f t="shared" si="4"/>
        <v>2021</v>
      </c>
      <c r="EB8" s="60">
        <f t="shared" si="4"/>
        <v>2021</v>
      </c>
      <c r="EC8" s="60">
        <f t="shared" si="4"/>
        <v>2021</v>
      </c>
      <c r="ED8" s="60">
        <f t="shared" si="4"/>
        <v>2021</v>
      </c>
      <c r="EE8" s="61">
        <v>2022</v>
      </c>
      <c r="EF8" s="61">
        <f t="shared" ref="EF8:EP8" si="5">EE8</f>
        <v>2022</v>
      </c>
      <c r="EG8" s="61">
        <f t="shared" si="5"/>
        <v>2022</v>
      </c>
      <c r="EH8" s="62">
        <f t="shared" si="5"/>
        <v>2022</v>
      </c>
      <c r="EI8" s="62">
        <f t="shared" si="5"/>
        <v>2022</v>
      </c>
      <c r="EJ8" s="62">
        <f t="shared" si="5"/>
        <v>2022</v>
      </c>
      <c r="EK8" s="62">
        <f t="shared" si="5"/>
        <v>2022</v>
      </c>
      <c r="EL8" s="62">
        <f t="shared" si="5"/>
        <v>2022</v>
      </c>
      <c r="EM8" s="62">
        <f t="shared" si="5"/>
        <v>2022</v>
      </c>
      <c r="EN8" s="63">
        <f t="shared" si="5"/>
        <v>2022</v>
      </c>
      <c r="EO8" s="63">
        <f t="shared" si="5"/>
        <v>2022</v>
      </c>
      <c r="EP8" s="63">
        <f t="shared" si="5"/>
        <v>2022</v>
      </c>
      <c r="EQ8" s="64">
        <v>2023</v>
      </c>
      <c r="ER8" s="64">
        <f t="shared" ref="ER8:FB8" si="6">EQ8</f>
        <v>2023</v>
      </c>
      <c r="ES8" s="64">
        <f t="shared" si="6"/>
        <v>2023</v>
      </c>
      <c r="ET8" s="75">
        <f t="shared" si="6"/>
        <v>2023</v>
      </c>
      <c r="EU8" s="75">
        <f t="shared" si="6"/>
        <v>2023</v>
      </c>
      <c r="EV8" s="75">
        <f t="shared" si="6"/>
        <v>2023</v>
      </c>
      <c r="EW8" s="75">
        <f t="shared" si="6"/>
        <v>2023</v>
      </c>
      <c r="EX8" s="75">
        <f t="shared" si="6"/>
        <v>2023</v>
      </c>
      <c r="EY8" s="75">
        <f t="shared" si="6"/>
        <v>2023</v>
      </c>
      <c r="EZ8" s="75">
        <f t="shared" si="6"/>
        <v>2023</v>
      </c>
      <c r="FA8" s="75">
        <f t="shared" si="6"/>
        <v>2023</v>
      </c>
      <c r="FB8" s="75">
        <f t="shared" si="6"/>
        <v>2023</v>
      </c>
      <c r="FC8" s="75">
        <v>2024</v>
      </c>
      <c r="FD8" s="75">
        <f t="shared" ref="FD8:FK8" si="7">FC8</f>
        <v>2024</v>
      </c>
      <c r="FE8" s="75">
        <f t="shared" si="7"/>
        <v>2024</v>
      </c>
      <c r="FF8" s="75">
        <f t="shared" si="7"/>
        <v>2024</v>
      </c>
      <c r="FG8" s="75">
        <f t="shared" si="7"/>
        <v>2024</v>
      </c>
      <c r="FH8" s="75">
        <f t="shared" si="7"/>
        <v>2024</v>
      </c>
      <c r="FI8" s="75">
        <f t="shared" si="7"/>
        <v>2024</v>
      </c>
      <c r="FJ8" s="75">
        <f t="shared" si="7"/>
        <v>2024</v>
      </c>
      <c r="FK8" s="75">
        <f t="shared" si="7"/>
        <v>2024</v>
      </c>
    </row>
    <row r="9" spans="1:167" s="11" customFormat="1" ht="24.95" customHeight="1" thickBot="1">
      <c r="C9" s="12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2" t="s">
        <v>10</v>
      </c>
      <c r="I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5</v>
      </c>
      <c r="P9" s="12" t="s">
        <v>6</v>
      </c>
      <c r="Q9" s="12" t="s">
        <v>7</v>
      </c>
      <c r="R9" s="12" t="s">
        <v>8</v>
      </c>
      <c r="S9" s="12" t="s">
        <v>9</v>
      </c>
      <c r="T9" s="12" t="s">
        <v>10</v>
      </c>
      <c r="U9" s="12" t="s">
        <v>11</v>
      </c>
      <c r="V9" s="12" t="s">
        <v>12</v>
      </c>
      <c r="W9" s="12" t="s">
        <v>13</v>
      </c>
      <c r="X9" s="12" t="s">
        <v>14</v>
      </c>
      <c r="Y9" s="12" t="s">
        <v>15</v>
      </c>
      <c r="Z9" s="12" t="s">
        <v>16</v>
      </c>
      <c r="AA9" s="12" t="s">
        <v>5</v>
      </c>
      <c r="AB9" s="12" t="s">
        <v>6</v>
      </c>
      <c r="AC9" s="12" t="s">
        <v>7</v>
      </c>
      <c r="AD9" s="12" t="s">
        <v>8</v>
      </c>
      <c r="AE9" s="12" t="s">
        <v>9</v>
      </c>
      <c r="AF9" s="12" t="s">
        <v>10</v>
      </c>
      <c r="AG9" s="12" t="s">
        <v>11</v>
      </c>
      <c r="AH9" s="12" t="s">
        <v>12</v>
      </c>
      <c r="AI9" s="12" t="s">
        <v>13</v>
      </c>
      <c r="AJ9" s="12" t="s">
        <v>14</v>
      </c>
      <c r="AK9" s="12" t="s">
        <v>15</v>
      </c>
      <c r="AL9" s="12" t="s">
        <v>16</v>
      </c>
      <c r="AM9" s="12" t="s">
        <v>5</v>
      </c>
      <c r="AN9" s="12" t="s">
        <v>6</v>
      </c>
      <c r="AO9" s="12" t="s">
        <v>7</v>
      </c>
      <c r="AP9" s="12" t="s">
        <v>8</v>
      </c>
      <c r="AQ9" s="12" t="s">
        <v>9</v>
      </c>
      <c r="AR9" s="12" t="s">
        <v>10</v>
      </c>
      <c r="AS9" s="12" t="s">
        <v>11</v>
      </c>
      <c r="AT9" s="12" t="s">
        <v>12</v>
      </c>
      <c r="AU9" s="12" t="s">
        <v>13</v>
      </c>
      <c r="AV9" s="12" t="s">
        <v>14</v>
      </c>
      <c r="AW9" s="12" t="s">
        <v>15</v>
      </c>
      <c r="AX9" s="12" t="s">
        <v>16</v>
      </c>
      <c r="AY9" s="12" t="s">
        <v>5</v>
      </c>
      <c r="AZ9" s="12" t="s">
        <v>6</v>
      </c>
      <c r="BA9" s="12" t="s">
        <v>7</v>
      </c>
      <c r="BB9" s="12" t="s">
        <v>8</v>
      </c>
      <c r="BC9" s="12" t="s">
        <v>9</v>
      </c>
      <c r="BD9" s="12" t="s">
        <v>10</v>
      </c>
      <c r="BE9" s="12" t="s">
        <v>11</v>
      </c>
      <c r="BF9" s="12" t="s">
        <v>12</v>
      </c>
      <c r="BG9" s="12" t="s">
        <v>13</v>
      </c>
      <c r="BH9" s="12" t="s">
        <v>14</v>
      </c>
      <c r="BI9" s="12" t="s">
        <v>15</v>
      </c>
      <c r="BJ9" s="12" t="s">
        <v>16</v>
      </c>
      <c r="BK9" s="12" t="s">
        <v>5</v>
      </c>
      <c r="BL9" s="12" t="s">
        <v>6</v>
      </c>
      <c r="BM9" s="12" t="s">
        <v>7</v>
      </c>
      <c r="BN9" s="12" t="s">
        <v>8</v>
      </c>
      <c r="BO9" s="12" t="s">
        <v>9</v>
      </c>
      <c r="BP9" s="12" t="s">
        <v>10</v>
      </c>
      <c r="BQ9" s="12" t="s">
        <v>11</v>
      </c>
      <c r="BR9" s="12" t="s">
        <v>12</v>
      </c>
      <c r="BS9" s="12" t="s">
        <v>13</v>
      </c>
      <c r="BT9" s="12" t="s">
        <v>14</v>
      </c>
      <c r="BU9" s="12" t="s">
        <v>15</v>
      </c>
      <c r="BV9" s="12" t="s">
        <v>16</v>
      </c>
      <c r="BW9" s="12" t="s">
        <v>5</v>
      </c>
      <c r="BX9" s="12" t="s">
        <v>6</v>
      </c>
      <c r="BY9" s="12" t="s">
        <v>7</v>
      </c>
      <c r="BZ9" s="12" t="s">
        <v>8</v>
      </c>
      <c r="CA9" s="12" t="s">
        <v>9</v>
      </c>
      <c r="CB9" s="12" t="s">
        <v>10</v>
      </c>
      <c r="CC9" s="12" t="s">
        <v>11</v>
      </c>
      <c r="CD9" s="12" t="s">
        <v>12</v>
      </c>
      <c r="CE9" s="12" t="s">
        <v>13</v>
      </c>
      <c r="CF9" s="12" t="s">
        <v>14</v>
      </c>
      <c r="CG9" s="12" t="s">
        <v>15</v>
      </c>
      <c r="CH9" s="12" t="s">
        <v>16</v>
      </c>
      <c r="CI9" s="12" t="s">
        <v>5</v>
      </c>
      <c r="CJ9" s="12" t="s">
        <v>6</v>
      </c>
      <c r="CK9" s="12" t="s">
        <v>7</v>
      </c>
      <c r="CL9" s="12" t="s">
        <v>8</v>
      </c>
      <c r="CM9" s="12" t="s">
        <v>9</v>
      </c>
      <c r="CN9" s="12" t="s">
        <v>10</v>
      </c>
      <c r="CO9" s="12" t="s">
        <v>11</v>
      </c>
      <c r="CP9" s="12" t="s">
        <v>12</v>
      </c>
      <c r="CQ9" s="12" t="s">
        <v>13</v>
      </c>
      <c r="CR9" s="12" t="s">
        <v>14</v>
      </c>
      <c r="CS9" s="12" t="s">
        <v>15</v>
      </c>
      <c r="CT9" s="12" t="s">
        <v>16</v>
      </c>
      <c r="CU9" s="12" t="s">
        <v>5</v>
      </c>
      <c r="CV9" s="12" t="s">
        <v>6</v>
      </c>
      <c r="CW9" s="12" t="s">
        <v>7</v>
      </c>
      <c r="CX9" s="12" t="s">
        <v>8</v>
      </c>
      <c r="CY9" s="12" t="s">
        <v>9</v>
      </c>
      <c r="CZ9" s="12" t="s">
        <v>10</v>
      </c>
      <c r="DA9" s="12" t="s">
        <v>11</v>
      </c>
      <c r="DB9" s="12" t="s">
        <v>12</v>
      </c>
      <c r="DC9" s="12" t="s">
        <v>13</v>
      </c>
      <c r="DD9" s="12" t="s">
        <v>14</v>
      </c>
      <c r="DE9" s="12" t="s">
        <v>15</v>
      </c>
      <c r="DF9" s="12" t="s">
        <v>16</v>
      </c>
      <c r="DG9" s="12" t="s">
        <v>5</v>
      </c>
      <c r="DH9" s="12" t="s">
        <v>6</v>
      </c>
      <c r="DI9" s="12" t="s">
        <v>7</v>
      </c>
      <c r="DJ9" s="12" t="s">
        <v>8</v>
      </c>
      <c r="DK9" s="12" t="s">
        <v>9</v>
      </c>
      <c r="DL9" s="12" t="s">
        <v>10</v>
      </c>
      <c r="DM9" s="12" t="s">
        <v>11</v>
      </c>
      <c r="DN9" s="12" t="s">
        <v>12</v>
      </c>
      <c r="DO9" s="12" t="s">
        <v>13</v>
      </c>
      <c r="DP9" s="12" t="s">
        <v>14</v>
      </c>
      <c r="DQ9" s="12" t="s">
        <v>15</v>
      </c>
      <c r="DR9" s="12" t="s">
        <v>16</v>
      </c>
      <c r="DS9" s="12" t="s">
        <v>5</v>
      </c>
      <c r="DT9" s="12" t="s">
        <v>6</v>
      </c>
      <c r="DU9" s="12" t="s">
        <v>7</v>
      </c>
      <c r="DV9" s="12" t="s">
        <v>8</v>
      </c>
      <c r="DW9" s="12" t="s">
        <v>9</v>
      </c>
      <c r="DX9" s="12" t="s">
        <v>10</v>
      </c>
      <c r="DY9" s="12" t="s">
        <v>11</v>
      </c>
      <c r="DZ9" s="12" t="s">
        <v>12</v>
      </c>
      <c r="EA9" s="12" t="s">
        <v>13</v>
      </c>
      <c r="EB9" s="12" t="s">
        <v>14</v>
      </c>
      <c r="EC9" s="12" t="s">
        <v>15</v>
      </c>
      <c r="ED9" s="12" t="s">
        <v>16</v>
      </c>
      <c r="EE9" s="12" t="s">
        <v>5</v>
      </c>
      <c r="EF9" s="12" t="s">
        <v>6</v>
      </c>
      <c r="EG9" s="12" t="s">
        <v>7</v>
      </c>
      <c r="EH9" s="12" t="s">
        <v>8</v>
      </c>
      <c r="EI9" s="12" t="s">
        <v>9</v>
      </c>
      <c r="EJ9" s="12" t="s">
        <v>10</v>
      </c>
      <c r="EK9" s="12" t="s">
        <v>11</v>
      </c>
      <c r="EL9" s="12" t="s">
        <v>12</v>
      </c>
      <c r="EM9" s="12" t="s">
        <v>13</v>
      </c>
      <c r="EN9" s="12" t="s">
        <v>14</v>
      </c>
      <c r="EO9" s="12" t="s">
        <v>15</v>
      </c>
      <c r="EP9" s="12" t="s">
        <v>16</v>
      </c>
      <c r="EQ9" s="65" t="s">
        <v>5</v>
      </c>
      <c r="ER9" s="65" t="s">
        <v>6</v>
      </c>
      <c r="ES9" s="65" t="s">
        <v>7</v>
      </c>
      <c r="ET9" s="76" t="s">
        <v>8</v>
      </c>
      <c r="EU9" s="76" t="s">
        <v>9</v>
      </c>
      <c r="EV9" s="76" t="s">
        <v>10</v>
      </c>
      <c r="EW9" s="76" t="s">
        <v>11</v>
      </c>
      <c r="EX9" s="76" t="s">
        <v>12</v>
      </c>
      <c r="EY9" s="76" t="s">
        <v>13</v>
      </c>
      <c r="EZ9" s="76" t="s">
        <v>14</v>
      </c>
      <c r="FA9" s="76" t="s">
        <v>15</v>
      </c>
      <c r="FB9" s="76" t="s">
        <v>16</v>
      </c>
      <c r="FC9" s="76" t="s">
        <v>5</v>
      </c>
      <c r="FD9" s="76" t="s">
        <v>6</v>
      </c>
      <c r="FE9" s="76" t="s">
        <v>7</v>
      </c>
      <c r="FF9" s="76" t="s">
        <v>8</v>
      </c>
      <c r="FG9" s="76" t="s">
        <v>9</v>
      </c>
      <c r="FH9" s="76" t="s">
        <v>10</v>
      </c>
      <c r="FI9" s="76" t="s">
        <v>11</v>
      </c>
      <c r="FJ9" s="76" t="s">
        <v>12</v>
      </c>
      <c r="FK9" s="76" t="s">
        <v>13</v>
      </c>
    </row>
    <row r="10" spans="1:167" s="11" customFormat="1" ht="24.95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66"/>
      <c r="ER10" s="66"/>
      <c r="ES10" s="66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</row>
    <row r="11" spans="1:167" s="11" customFormat="1" ht="24.95" customHeight="1">
      <c r="A11" s="14" t="s">
        <v>0</v>
      </c>
      <c r="B11" s="15">
        <v>0</v>
      </c>
      <c r="C11" s="15">
        <f>406654.96-81022.38</f>
        <v>325632.58</v>
      </c>
      <c r="D11" s="15">
        <f>280747.76-10017.43-55956.64</f>
        <v>214773.69</v>
      </c>
      <c r="E11" s="15">
        <f>759860.81-63655.62-57580.31</f>
        <v>638624.88000000012</v>
      </c>
      <c r="F11" s="15">
        <f>1804764.86-53314.27-246019.14+4471.82</f>
        <v>1509903.2700000003</v>
      </c>
      <c r="G11" s="15">
        <f>685811.57-10519.25-74385.92+1592.25</f>
        <v>602498.64999999991</v>
      </c>
      <c r="H11" s="15">
        <f>603908.16-0-170710.05+80400</f>
        <v>513598.11000000004</v>
      </c>
      <c r="I11" s="15">
        <f>239946.78-21801.02-51649.55</f>
        <v>166496.21000000002</v>
      </c>
      <c r="J11" s="15">
        <f>894112.78-11740-282531.11</f>
        <v>599841.67000000004</v>
      </c>
      <c r="K11" s="15">
        <v>-18801.359999999997</v>
      </c>
      <c r="L11" s="15">
        <v>152262.93000000002</v>
      </c>
      <c r="M11" s="15">
        <v>932205.02</v>
      </c>
      <c r="N11" s="15">
        <v>917853.3</v>
      </c>
      <c r="O11" s="15">
        <v>560813.25</v>
      </c>
      <c r="P11" s="15">
        <v>1700551.75</v>
      </c>
      <c r="Q11" s="15">
        <v>3850907.9299999997</v>
      </c>
      <c r="R11" s="15">
        <v>1929091.66</v>
      </c>
      <c r="S11" s="15">
        <v>790760.91999999993</v>
      </c>
      <c r="T11" s="15">
        <v>5560114.3399999999</v>
      </c>
      <c r="U11" s="15">
        <v>538623.56999999995</v>
      </c>
      <c r="V11" s="15">
        <v>232105.12000000002</v>
      </c>
      <c r="W11" s="15">
        <v>4541.3999999999978</v>
      </c>
      <c r="X11" s="15">
        <v>736753.06</v>
      </c>
      <c r="Y11" s="15">
        <v>2790078.9000000004</v>
      </c>
      <c r="Z11" s="15">
        <v>1728794.0499999998</v>
      </c>
      <c r="AA11" s="15">
        <v>-201192.91000000003</v>
      </c>
      <c r="AB11" s="15">
        <v>40182.799999999996</v>
      </c>
      <c r="AC11" s="15">
        <v>647460.91999999993</v>
      </c>
      <c r="AD11" s="15">
        <v>1232873.52</v>
      </c>
      <c r="AE11" s="15">
        <v>1687827.8699999999</v>
      </c>
      <c r="AF11" s="15">
        <v>2371297.63</v>
      </c>
      <c r="AG11" s="15">
        <v>1358205.3800000001</v>
      </c>
      <c r="AH11" s="15">
        <v>660516.38</v>
      </c>
      <c r="AI11" s="15">
        <v>975793.35000000009</v>
      </c>
      <c r="AJ11" s="15">
        <v>-646125.98</v>
      </c>
      <c r="AK11" s="15">
        <v>1437417.49</v>
      </c>
      <c r="AL11" s="15">
        <v>1561416.97</v>
      </c>
      <c r="AM11" s="15">
        <v>6186.68</v>
      </c>
      <c r="AN11" s="15">
        <v>5443.66</v>
      </c>
      <c r="AO11" s="15">
        <v>251103.26</v>
      </c>
      <c r="AP11" s="15">
        <v>7334.2200000000012</v>
      </c>
      <c r="AQ11" s="15">
        <v>6647.42</v>
      </c>
      <c r="AR11" s="15">
        <v>6178.01</v>
      </c>
      <c r="AS11" s="15">
        <v>15470.819999999998</v>
      </c>
      <c r="AT11" s="15">
        <v>28735.279999999999</v>
      </c>
      <c r="AU11" s="15">
        <v>6028.4500000000007</v>
      </c>
      <c r="AV11" s="15">
        <v>94421.849999999977</v>
      </c>
      <c r="AW11" s="15">
        <v>25697.429999999997</v>
      </c>
      <c r="AX11" s="15">
        <v>24155.599999999999</v>
      </c>
      <c r="AY11" s="15">
        <v>3518.5599999999995</v>
      </c>
      <c r="AZ11" s="15">
        <v>390162.14999999997</v>
      </c>
      <c r="BA11" s="15">
        <v>51454.82</v>
      </c>
      <c r="BB11" s="15">
        <v>29696.73</v>
      </c>
      <c r="BC11" s="15">
        <v>3231.63</v>
      </c>
      <c r="BD11" s="15">
        <v>3645.0299999999997</v>
      </c>
      <c r="BE11" s="15">
        <v>0</v>
      </c>
      <c r="BF11" s="15">
        <v>1602.85</v>
      </c>
      <c r="BG11" s="15">
        <v>9795.42</v>
      </c>
      <c r="BH11" s="41">
        <v>430324.8</v>
      </c>
      <c r="BI11" s="15">
        <v>318776.93</v>
      </c>
      <c r="BJ11" s="15">
        <v>2321.5999999999995</v>
      </c>
      <c r="BK11" s="15">
        <v>1360</v>
      </c>
      <c r="BL11" s="15">
        <f>5187.04-19697.76+17788.94</f>
        <v>3278.2200000000012</v>
      </c>
      <c r="BM11" s="15">
        <f>8523.2-4999.28</f>
        <v>3523.920000000001</v>
      </c>
      <c r="BN11" s="15">
        <f>172835.59-5636.54</f>
        <v>167199.04999999999</v>
      </c>
      <c r="BO11" s="15">
        <v>12711.6</v>
      </c>
      <c r="BP11" s="15">
        <f>200869.57-3782.74</f>
        <v>197086.83000000002</v>
      </c>
      <c r="BQ11" s="15">
        <v>0</v>
      </c>
      <c r="BR11" s="15">
        <f>48468.99-3104.22</f>
        <v>45364.77</v>
      </c>
      <c r="BS11" s="15">
        <f>89706.94-2275</f>
        <v>87431.94</v>
      </c>
      <c r="BT11" s="15">
        <f>274048.72-48638.51</f>
        <v>225410.20999999996</v>
      </c>
      <c r="BU11" s="15">
        <f>3271555.7-103297.23</f>
        <v>3168258.47</v>
      </c>
      <c r="BV11" s="15">
        <f>40771.81+790.4</f>
        <v>41562.21</v>
      </c>
      <c r="BW11" s="15">
        <v>32384</v>
      </c>
      <c r="BX11" s="15">
        <f>4000-1200</f>
        <v>2800</v>
      </c>
      <c r="BY11" s="15">
        <f>59211.44-3180</f>
        <v>56031.44</v>
      </c>
      <c r="BZ11" s="15">
        <f>8800-2640</f>
        <v>6160</v>
      </c>
      <c r="CA11" s="15">
        <f>8451.96-3298.61</f>
        <v>5153.3499999999985</v>
      </c>
      <c r="CB11" s="15">
        <f>7247.35-1319.8</f>
        <v>5927.55</v>
      </c>
      <c r="CC11" s="15">
        <f>410050.28-3352.52</f>
        <v>406697.76</v>
      </c>
      <c r="CD11" s="15">
        <f>7459.96-3658.85</f>
        <v>3801.11</v>
      </c>
      <c r="CE11" s="15">
        <f>32343.96-718.4-15033.79</f>
        <v>16591.769999999997</v>
      </c>
      <c r="CF11" s="15">
        <f>23999.56-9618.18</f>
        <v>14381.380000000001</v>
      </c>
      <c r="CG11" s="15">
        <f>60169.63-33350.89</f>
        <v>26818.739999999998</v>
      </c>
      <c r="CH11" s="15">
        <v>0</v>
      </c>
      <c r="CI11" s="15">
        <v>22958.089999999997</v>
      </c>
      <c r="CJ11" s="15">
        <v>14099.59</v>
      </c>
      <c r="CK11" s="15">
        <v>23512.18</v>
      </c>
      <c r="CL11" s="15">
        <v>14679.699999999999</v>
      </c>
      <c r="CM11" s="15">
        <v>13733.880000000001</v>
      </c>
      <c r="CN11" s="15">
        <v>17349.68</v>
      </c>
      <c r="CO11" s="15">
        <v>4330.29</v>
      </c>
      <c r="CP11" s="15">
        <v>7783.869999999999</v>
      </c>
      <c r="CQ11" s="15">
        <v>68235.429999999993</v>
      </c>
      <c r="CR11" s="15">
        <v>63895.850000000006</v>
      </c>
      <c r="CS11" s="15">
        <v>-285859.26</v>
      </c>
      <c r="CT11" s="15">
        <v>356258.62</v>
      </c>
      <c r="CU11" s="15">
        <v>18255.97</v>
      </c>
      <c r="CV11" s="15">
        <f>7688.96-4914.36</f>
        <v>2774.6000000000004</v>
      </c>
      <c r="CW11" s="15">
        <v>8262.83</v>
      </c>
      <c r="CX11" s="15">
        <f>14006.72-391.25</f>
        <v>13615.47</v>
      </c>
      <c r="CY11" s="15">
        <f>1898.2-197.6</f>
        <v>1700.6000000000001</v>
      </c>
      <c r="CZ11" s="15">
        <v>10211.959999999999</v>
      </c>
      <c r="DA11" s="15">
        <v>48969.98</v>
      </c>
      <c r="DB11" s="15">
        <v>64416.5</v>
      </c>
      <c r="DC11" s="15">
        <v>2208.8200000000002</v>
      </c>
      <c r="DD11" s="15">
        <f>26245.23-11919.24</f>
        <v>14325.99</v>
      </c>
      <c r="DE11" s="15">
        <f>140953.7-74716.2</f>
        <v>66237.500000000015</v>
      </c>
      <c r="DF11" s="15">
        <v>4798466.1900000004</v>
      </c>
      <c r="DG11" s="15">
        <v>0</v>
      </c>
      <c r="DH11" s="15">
        <f>163879.2</f>
        <v>163879.20000000001</v>
      </c>
      <c r="DI11" s="15">
        <f>3809.46</f>
        <v>3809.46</v>
      </c>
      <c r="DJ11" s="15"/>
      <c r="DK11" s="15"/>
      <c r="DL11" s="15"/>
      <c r="DM11" s="15"/>
      <c r="DN11" s="15">
        <v>13935.02</v>
      </c>
      <c r="DO11" s="15">
        <v>122049.48</v>
      </c>
      <c r="DP11" s="15">
        <v>172892.9</v>
      </c>
      <c r="DQ11" s="15">
        <v>0</v>
      </c>
      <c r="DR11" s="15">
        <f>3182.1</f>
        <v>3182.1</v>
      </c>
      <c r="DS11" s="15">
        <f>562.4</f>
        <v>562.4</v>
      </c>
      <c r="DT11" s="15">
        <f>163493.4-126752</f>
        <v>36741.399999999994</v>
      </c>
      <c r="DU11" s="15">
        <f>10884.1</f>
        <v>10884.1</v>
      </c>
      <c r="DV11" s="15">
        <f>20286.8</f>
        <v>20286.8</v>
      </c>
      <c r="DW11" s="15">
        <f>5459.3</f>
        <v>5459.3</v>
      </c>
      <c r="DX11" s="15">
        <f>2076.6</f>
        <v>2076.6</v>
      </c>
      <c r="DY11" s="15">
        <f>2363.2-1536.08</f>
        <v>827.11999999999989</v>
      </c>
      <c r="DZ11" s="15">
        <f>30008.5-19156.8</f>
        <v>10851.7</v>
      </c>
      <c r="EA11" s="15">
        <f>8236.4</f>
        <v>8236.4</v>
      </c>
      <c r="EB11" s="15">
        <f>77375.6</f>
        <v>77375.600000000006</v>
      </c>
      <c r="EC11" s="15">
        <f>4827.06</f>
        <v>4827.0600000000004</v>
      </c>
      <c r="ED11" s="15">
        <f>122624.6-22486.74</f>
        <v>100137.86</v>
      </c>
      <c r="EE11" s="15">
        <v>1250</v>
      </c>
      <c r="EF11" s="15">
        <f>7873.78-3617.69</f>
        <v>4256.09</v>
      </c>
      <c r="EG11" s="15">
        <f>213655.7-78188.05</f>
        <v>135467.65000000002</v>
      </c>
      <c r="EH11" s="15">
        <f>94970.68-7820.59</f>
        <v>87150.09</v>
      </c>
      <c r="EI11" s="15">
        <f>28430.26-15496.89</f>
        <v>12933.369999999999</v>
      </c>
      <c r="EJ11" s="15">
        <f>94802.04-4062.29</f>
        <v>90739.75</v>
      </c>
      <c r="EK11" s="15">
        <f>70275.84-2813.88</f>
        <v>67461.959999999992</v>
      </c>
      <c r="EL11" s="15">
        <f>159529.78-13465.83</f>
        <v>146063.95000000001</v>
      </c>
      <c r="EM11" s="15">
        <f>212097.92-21001.33</f>
        <v>191096.59000000003</v>
      </c>
      <c r="EN11" s="15">
        <f>122461.18-35500.56</f>
        <v>86960.62</v>
      </c>
      <c r="EO11" s="15">
        <f>29174.5-9124.38</f>
        <v>20050.120000000003</v>
      </c>
      <c r="EP11" s="15">
        <f>132144.48-22159.5</f>
        <v>109984.98000000001</v>
      </c>
      <c r="EQ11" s="67">
        <f>9362.5-4883.13</f>
        <v>4479.37</v>
      </c>
      <c r="ER11" s="67">
        <f>25383.4-10421.14</f>
        <v>14962.260000000002</v>
      </c>
      <c r="ES11" s="67">
        <f>129637-25473.51</f>
        <v>104163.49</v>
      </c>
      <c r="ET11" s="78">
        <f>82352.8-41296.91</f>
        <v>41055.89</v>
      </c>
      <c r="EU11" s="78">
        <f>65286.5-29538.63</f>
        <v>35747.869999999995</v>
      </c>
      <c r="EV11" s="78">
        <f>29934.1-10018.78</f>
        <v>19915.32</v>
      </c>
      <c r="EW11" s="78">
        <v>2580</v>
      </c>
      <c r="EX11" s="78">
        <f>49907.5-20320.63</f>
        <v>29586.87</v>
      </c>
      <c r="EY11" s="78">
        <f>18590.15-6397.38</f>
        <v>12192.77</v>
      </c>
      <c r="EZ11" s="78">
        <f>58530.75-17487.59</f>
        <v>41043.160000000003</v>
      </c>
      <c r="FA11" s="78">
        <f>524240.22-37458.53</f>
        <v>486781.68999999994</v>
      </c>
      <c r="FB11" s="78">
        <f>1998164.77-6378.78</f>
        <v>1991785.99</v>
      </c>
      <c r="FC11" s="78">
        <f>96482-54776.83</f>
        <v>41705.17</v>
      </c>
      <c r="FD11" s="78">
        <f>15665-8206.25</f>
        <v>7458.75</v>
      </c>
      <c r="FE11" s="78">
        <f>37766.9-15504.75</f>
        <v>22262.15</v>
      </c>
      <c r="FF11" s="78">
        <f>69690.5-17441.13</f>
        <v>52249.369999999995</v>
      </c>
      <c r="FG11" s="78">
        <f>17887.5-2513.88</f>
        <v>15373.619999999999</v>
      </c>
      <c r="FH11" s="78">
        <f>12947.5-4457.38</f>
        <v>8490.119999999999</v>
      </c>
      <c r="FI11" s="78">
        <f>10550-2775.5</f>
        <v>7774.5</v>
      </c>
      <c r="FJ11" s="78">
        <f>10555-2115.76</f>
        <v>8439.24</v>
      </c>
      <c r="FK11" s="78">
        <f>88254-8944.98</f>
        <v>79309.02</v>
      </c>
    </row>
    <row r="12" spans="1:167" s="11" customFormat="1" ht="24.95" customHeight="1">
      <c r="A12" s="14" t="s">
        <v>1</v>
      </c>
      <c r="B12" s="15">
        <v>0</v>
      </c>
      <c r="C12" s="15">
        <f>76525-3080</f>
        <v>73445</v>
      </c>
      <c r="D12" s="15">
        <f>480100-43720-97630</f>
        <v>338750</v>
      </c>
      <c r="E12" s="15">
        <f>430100-33740-100910</f>
        <v>295450</v>
      </c>
      <c r="F12" s="15">
        <f>57500-11370</f>
        <v>46130</v>
      </c>
      <c r="G12" s="15">
        <f>173964.51-36821.62-19137.5+7364.32</f>
        <v>125369.71000000002</v>
      </c>
      <c r="H12" s="15">
        <f>40400-12300-10420+2640</f>
        <v>20320</v>
      </c>
      <c r="I12" s="15">
        <f>82000-14940</f>
        <v>67060</v>
      </c>
      <c r="J12" s="15">
        <f>463050-87019.95</f>
        <v>376030.05</v>
      </c>
      <c r="K12" s="15">
        <v>130100</v>
      </c>
      <c r="L12" s="15">
        <v>198726.77</v>
      </c>
      <c r="M12" s="15">
        <v>30400</v>
      </c>
      <c r="N12" s="15">
        <v>98770</v>
      </c>
      <c r="O12" s="15">
        <v>624470.1</v>
      </c>
      <c r="P12" s="15">
        <v>238465</v>
      </c>
      <c r="Q12" s="15">
        <v>198035</v>
      </c>
      <c r="R12" s="15">
        <v>102455.22</v>
      </c>
      <c r="S12" s="15">
        <v>144530</v>
      </c>
      <c r="T12" s="15">
        <v>302360</v>
      </c>
      <c r="U12" s="15">
        <v>13150</v>
      </c>
      <c r="V12" s="15">
        <v>4400</v>
      </c>
      <c r="W12" s="15">
        <v>266420</v>
      </c>
      <c r="X12" s="15">
        <v>111612.5</v>
      </c>
      <c r="Y12" s="15">
        <v>88419.13</v>
      </c>
      <c r="Z12" s="15">
        <v>5500</v>
      </c>
      <c r="AA12" s="15">
        <v>16999.189999999999</v>
      </c>
      <c r="AB12" s="15">
        <v>12150</v>
      </c>
      <c r="AC12" s="15">
        <v>20600</v>
      </c>
      <c r="AD12" s="15">
        <v>1234539.67</v>
      </c>
      <c r="AE12" s="15">
        <v>50050</v>
      </c>
      <c r="AF12" s="15">
        <v>62990</v>
      </c>
      <c r="AG12" s="15">
        <v>33500</v>
      </c>
      <c r="AH12" s="15">
        <v>143008.59</v>
      </c>
      <c r="AI12" s="15">
        <v>196121.01</v>
      </c>
      <c r="AJ12" s="15">
        <v>97940</v>
      </c>
      <c r="AK12" s="15">
        <v>36150</v>
      </c>
      <c r="AL12" s="15">
        <v>134260</v>
      </c>
      <c r="AM12" s="15">
        <v>104995</v>
      </c>
      <c r="AN12" s="15">
        <v>57620</v>
      </c>
      <c r="AO12" s="15">
        <v>110890</v>
      </c>
      <c r="AP12" s="15">
        <v>9900</v>
      </c>
      <c r="AQ12" s="15">
        <v>78950</v>
      </c>
      <c r="AR12" s="15">
        <v>9800</v>
      </c>
      <c r="AS12" s="15">
        <v>30000</v>
      </c>
      <c r="AT12" s="15">
        <v>207353.5</v>
      </c>
      <c r="AU12" s="15">
        <v>76470</v>
      </c>
      <c r="AV12" s="15">
        <v>184333.6</v>
      </c>
      <c r="AW12" s="15">
        <v>3900</v>
      </c>
      <c r="AX12" s="15">
        <v>24745</v>
      </c>
      <c r="AY12" s="15">
        <v>102300</v>
      </c>
      <c r="AZ12" s="15">
        <v>0</v>
      </c>
      <c r="BA12" s="15">
        <v>36880</v>
      </c>
      <c r="BB12" s="15">
        <v>180617.5</v>
      </c>
      <c r="BC12" s="15">
        <v>330461.25</v>
      </c>
      <c r="BD12" s="15">
        <v>196107.5</v>
      </c>
      <c r="BE12" s="15">
        <v>153724.68</v>
      </c>
      <c r="BF12" s="15">
        <v>73959.98</v>
      </c>
      <c r="BG12" s="15">
        <v>25809.98</v>
      </c>
      <c r="BH12" s="41">
        <v>234400.63</v>
      </c>
      <c r="BI12" s="15">
        <v>6860198.9800000004</v>
      </c>
      <c r="BJ12" s="15">
        <v>506310</v>
      </c>
      <c r="BK12" s="15">
        <f>200515-3660</f>
        <v>196855</v>
      </c>
      <c r="BL12" s="15">
        <v>551171.30000000005</v>
      </c>
      <c r="BM12" s="15">
        <f>48475-8080</f>
        <v>40395</v>
      </c>
      <c r="BN12" s="15">
        <f>278540.24-55760</f>
        <v>222780.24</v>
      </c>
      <c r="BO12" s="15">
        <v>48375</v>
      </c>
      <c r="BP12" s="15">
        <f>79650.11-11440</f>
        <v>68210.11</v>
      </c>
      <c r="BQ12" s="15">
        <f>328850-75010</f>
        <v>253840</v>
      </c>
      <c r="BR12" s="15">
        <f>55150-9900</f>
        <v>45250</v>
      </c>
      <c r="BS12" s="15">
        <f>660145-5570</f>
        <v>654575</v>
      </c>
      <c r="BT12" s="15">
        <f>653905-50820</f>
        <v>603085</v>
      </c>
      <c r="BU12" s="15">
        <f>376110-46640</f>
        <v>329470</v>
      </c>
      <c r="BV12" s="15">
        <f>338950-2640</f>
        <v>336310</v>
      </c>
      <c r="BW12" s="15">
        <v>64100</v>
      </c>
      <c r="BX12" s="15">
        <f>169850-16830</f>
        <v>153020</v>
      </c>
      <c r="BY12" s="15">
        <f>244100-2310-6600</f>
        <v>235190</v>
      </c>
      <c r="BZ12" s="15">
        <f>1158091-178625-5280</f>
        <v>974186</v>
      </c>
      <c r="CA12" s="15">
        <f>59800-6330</f>
        <v>53470</v>
      </c>
      <c r="CB12" s="15">
        <f>215515-10120</f>
        <v>205395</v>
      </c>
      <c r="CC12" s="15">
        <f>78250-3300</f>
        <v>74950</v>
      </c>
      <c r="CD12" s="15">
        <f>159675-2600</f>
        <v>157075</v>
      </c>
      <c r="CE12" s="15">
        <f>159700-25950</f>
        <v>133750</v>
      </c>
      <c r="CF12" s="15">
        <v>35275</v>
      </c>
      <c r="CG12" s="15">
        <f>110750.3-14275</f>
        <v>96475.3</v>
      </c>
      <c r="CH12" s="15">
        <f>167285.98-14015.39</f>
        <v>153270.59000000003</v>
      </c>
      <c r="CI12" s="15">
        <v>120250</v>
      </c>
      <c r="CJ12" s="15">
        <v>189750</v>
      </c>
      <c r="CK12" s="15">
        <v>112715</v>
      </c>
      <c r="CL12" s="15">
        <v>31237.5</v>
      </c>
      <c r="CM12" s="15">
        <v>153600.79999999999</v>
      </c>
      <c r="CN12" s="15">
        <v>116450</v>
      </c>
      <c r="CO12" s="15">
        <v>624457.5</v>
      </c>
      <c r="CP12" s="15">
        <v>264995</v>
      </c>
      <c r="CQ12" s="15">
        <v>258984.44</v>
      </c>
      <c r="CR12" s="15">
        <v>234735</v>
      </c>
      <c r="CS12" s="15">
        <v>712772.66</v>
      </c>
      <c r="CT12" s="15">
        <v>1154230</v>
      </c>
      <c r="CU12" s="15">
        <v>169150</v>
      </c>
      <c r="CV12" s="15">
        <f>199400</f>
        <v>199400</v>
      </c>
      <c r="CW12" s="15">
        <v>76025</v>
      </c>
      <c r="CX12" s="15">
        <f>152700-4620</f>
        <v>148080</v>
      </c>
      <c r="CY12" s="15">
        <v>86100</v>
      </c>
      <c r="CZ12" s="15">
        <v>42625</v>
      </c>
      <c r="DA12" s="15">
        <v>71025</v>
      </c>
      <c r="DB12" s="15">
        <f>270200-81510</f>
        <v>188690</v>
      </c>
      <c r="DC12" s="15">
        <v>202725</v>
      </c>
      <c r="DD12" s="15">
        <f>278575-6967.5</f>
        <v>271607.5</v>
      </c>
      <c r="DE12" s="15">
        <f>135450-2640</f>
        <v>132810</v>
      </c>
      <c r="DF12" s="15">
        <v>68000</v>
      </c>
      <c r="DG12" s="15">
        <v>83650</v>
      </c>
      <c r="DH12" s="15">
        <f>1082135</f>
        <v>1082135</v>
      </c>
      <c r="DI12" s="15">
        <f>88250</f>
        <v>88250</v>
      </c>
      <c r="DJ12" s="15">
        <v>153200</v>
      </c>
      <c r="DK12" s="15">
        <v>208700</v>
      </c>
      <c r="DL12" s="15"/>
      <c r="DM12" s="15">
        <v>10690</v>
      </c>
      <c r="DN12" s="15">
        <v>350710</v>
      </c>
      <c r="DO12" s="15">
        <v>318825.5</v>
      </c>
      <c r="DP12" s="15">
        <v>88000</v>
      </c>
      <c r="DQ12" s="15">
        <f>15500-72500</f>
        <v>-57000</v>
      </c>
      <c r="DR12" s="15">
        <f>50600-(-72500)</f>
        <v>123100</v>
      </c>
      <c r="DS12" s="15">
        <f>67950</f>
        <v>67950</v>
      </c>
      <c r="DT12" s="15">
        <f>240750-161512.5</f>
        <v>79237.5</v>
      </c>
      <c r="DU12" s="15">
        <f>215400-141750</f>
        <v>73650</v>
      </c>
      <c r="DV12" s="15">
        <f>22000-16500</f>
        <v>5500</v>
      </c>
      <c r="DW12" s="15">
        <f>125800</f>
        <v>125800</v>
      </c>
      <c r="DX12" s="15">
        <f>329900</f>
        <v>329900</v>
      </c>
      <c r="DY12" s="15">
        <f>34400</f>
        <v>34400</v>
      </c>
      <c r="DZ12" s="15">
        <f>103550-12320</f>
        <v>91230</v>
      </c>
      <c r="EA12" s="15">
        <f>1505725-512655</f>
        <v>993070</v>
      </c>
      <c r="EB12" s="15">
        <f>88000-57200</f>
        <v>30800</v>
      </c>
      <c r="EC12" s="15">
        <f>1373000-769247.5</f>
        <v>603752.5</v>
      </c>
      <c r="ED12" s="15">
        <f>360700-42920</f>
        <v>317780</v>
      </c>
      <c r="EE12" s="15">
        <v>20600</v>
      </c>
      <c r="EF12" s="15">
        <f>76150</f>
        <v>76150</v>
      </c>
      <c r="EG12" s="15">
        <f>325550-211720</f>
        <v>113830</v>
      </c>
      <c r="EH12" s="15">
        <f>85800</f>
        <v>85800</v>
      </c>
      <c r="EI12" s="15">
        <f>143400-81510</f>
        <v>61890</v>
      </c>
      <c r="EJ12" s="15">
        <f>203500</f>
        <v>203500</v>
      </c>
      <c r="EK12" s="15">
        <f>570862.5-291671</f>
        <v>279191.5</v>
      </c>
      <c r="EL12" s="15">
        <f>1157625-557177.5</f>
        <v>600447.5</v>
      </c>
      <c r="EM12" s="15">
        <v>113200</v>
      </c>
      <c r="EN12" s="15">
        <f>135175-26400</f>
        <v>108775</v>
      </c>
      <c r="EO12" s="15">
        <f>664650-169600</f>
        <v>495050</v>
      </c>
      <c r="EP12" s="15">
        <f>1158990-372600</f>
        <v>786390</v>
      </c>
      <c r="EQ12" s="67">
        <f>923750-408410</f>
        <v>515340</v>
      </c>
      <c r="ER12" s="67">
        <f>176050-31650</f>
        <v>144400</v>
      </c>
      <c r="ES12" s="67">
        <f>139500-0</f>
        <v>139500</v>
      </c>
      <c r="ET12" s="78">
        <f>470250-333475</f>
        <v>136775</v>
      </c>
      <c r="EU12" s="78">
        <f>344875-80000</f>
        <v>264875</v>
      </c>
      <c r="EV12" s="78">
        <f>213000-70200</f>
        <v>142800</v>
      </c>
      <c r="EW12" s="78">
        <f>320850-240165</f>
        <v>80685</v>
      </c>
      <c r="EX12" s="78">
        <f>286400-2860</f>
        <v>283540</v>
      </c>
      <c r="EY12" s="78">
        <f>850925-482091.25</f>
        <v>368833.75</v>
      </c>
      <c r="EZ12" s="78">
        <f>628500-140000</f>
        <v>488500</v>
      </c>
      <c r="FA12" s="78">
        <v>164800</v>
      </c>
      <c r="FB12" s="78">
        <f>270950-58337.5</f>
        <v>212612.5</v>
      </c>
      <c r="FC12" s="78">
        <v>121750</v>
      </c>
      <c r="FD12" s="78">
        <v>86000</v>
      </c>
      <c r="FE12" s="78">
        <v>28500</v>
      </c>
      <c r="FF12" s="78">
        <v>31500</v>
      </c>
      <c r="FG12" s="78">
        <v>0</v>
      </c>
      <c r="FH12" s="78">
        <v>54500</v>
      </c>
      <c r="FI12" s="78">
        <f>197500-124550</f>
        <v>72950</v>
      </c>
      <c r="FJ12" s="78">
        <v>7500</v>
      </c>
      <c r="FK12" s="78">
        <v>157500</v>
      </c>
    </row>
    <row r="13" spans="1:167" s="11" customFormat="1" ht="24.95" customHeight="1">
      <c r="A13" s="14" t="s">
        <v>2</v>
      </c>
      <c r="B13" s="15">
        <v>0</v>
      </c>
      <c r="C13" s="15">
        <f>1390046.08-11725</f>
        <v>1378321.08</v>
      </c>
      <c r="D13" s="15">
        <v>2093963.53</v>
      </c>
      <c r="E13" s="15">
        <f>3366223.67-52920-1480000</f>
        <v>1833303.67</v>
      </c>
      <c r="F13" s="15">
        <f>2705702.51-5990.44-1512174.23</f>
        <v>1187537.8399999999</v>
      </c>
      <c r="G13" s="15">
        <f>6301341.21-175706.2-3531229.93-32633.22+13098.62</f>
        <v>2574870.4799999995</v>
      </c>
      <c r="H13" s="15">
        <f>8161883.21-241402.86-4446245.05-7306.96</f>
        <v>3466928.34</v>
      </c>
      <c r="I13" s="15">
        <f>3068130.22-1027083.3-17903.7-172413.79</f>
        <v>1850729.4300000002</v>
      </c>
      <c r="J13" s="15">
        <f>8227983.14-7890-78906.96-5581569.61</f>
        <v>2559616.5699999994</v>
      </c>
      <c r="K13" s="15">
        <v>1390280.4499999993</v>
      </c>
      <c r="L13" s="15">
        <v>2062026.2399999993</v>
      </c>
      <c r="M13" s="15">
        <v>2754378.9499999955</v>
      </c>
      <c r="N13" s="15">
        <v>2197235.2100000009</v>
      </c>
      <c r="O13" s="15">
        <v>1995520.07</v>
      </c>
      <c r="P13" s="15">
        <v>4681488.95</v>
      </c>
      <c r="Q13" s="15">
        <v>2327790.1899999976</v>
      </c>
      <c r="R13" s="15">
        <v>1757458.9699999988</v>
      </c>
      <c r="S13" s="15">
        <v>1944497.0399999991</v>
      </c>
      <c r="T13" s="15">
        <v>3452394.7600000203</v>
      </c>
      <c r="U13" s="15">
        <v>2591451.9399999976</v>
      </c>
      <c r="V13" s="15">
        <v>4410920.3599999985</v>
      </c>
      <c r="W13" s="15">
        <v>1428510.229999993</v>
      </c>
      <c r="X13" s="15">
        <v>2575079.9600000009</v>
      </c>
      <c r="Y13" s="15">
        <v>1434013.5900000036</v>
      </c>
      <c r="Z13" s="15">
        <v>2192339.669999999</v>
      </c>
      <c r="AA13" s="15">
        <v>1325333.7199999997</v>
      </c>
      <c r="AB13" s="15">
        <v>2080447.57</v>
      </c>
      <c r="AC13" s="15">
        <v>1898586.2899999998</v>
      </c>
      <c r="AD13" s="15">
        <v>1613256.799999997</v>
      </c>
      <c r="AE13" s="15">
        <v>1424338.9199999981</v>
      </c>
      <c r="AF13" s="15">
        <v>2029026.5899999961</v>
      </c>
      <c r="AG13" s="15">
        <v>2281357</v>
      </c>
      <c r="AH13" s="15">
        <v>2378136.58</v>
      </c>
      <c r="AI13" s="15">
        <v>1462196.75</v>
      </c>
      <c r="AJ13" s="15">
        <v>2938765.3999999985</v>
      </c>
      <c r="AK13" s="15">
        <v>2065930.1800000072</v>
      </c>
      <c r="AL13" s="15">
        <v>2526732.7599999905</v>
      </c>
      <c r="AM13" s="15">
        <v>1688805.6099999994</v>
      </c>
      <c r="AN13" s="15">
        <v>1435391.36</v>
      </c>
      <c r="AO13" s="15">
        <v>2422528.12</v>
      </c>
      <c r="AP13" s="15">
        <v>2025505.3900000006</v>
      </c>
      <c r="AQ13" s="15">
        <v>1925769.6900000004</v>
      </c>
      <c r="AR13" s="15">
        <v>2119827.1699999981</v>
      </c>
      <c r="AS13" s="15">
        <v>1987226.8099999949</v>
      </c>
      <c r="AT13" s="15">
        <v>1730757.8200000003</v>
      </c>
      <c r="AU13" s="15">
        <v>2438079.1100000069</v>
      </c>
      <c r="AV13" s="15">
        <v>2310348.0900000036</v>
      </c>
      <c r="AW13" s="15">
        <v>2169874.5999999996</v>
      </c>
      <c r="AX13" s="15">
        <v>2585999.7700000033</v>
      </c>
      <c r="AY13" s="15">
        <v>1402641</v>
      </c>
      <c r="AZ13" s="15">
        <v>316256.24</v>
      </c>
      <c r="BA13" s="15">
        <v>3975824.18</v>
      </c>
      <c r="BB13" s="15">
        <v>2720337.17</v>
      </c>
      <c r="BC13" s="15">
        <v>3052026.18</v>
      </c>
      <c r="BD13" s="15">
        <v>1949826.7399999984</v>
      </c>
      <c r="BE13" s="15">
        <v>2426957.1</v>
      </c>
      <c r="BF13" s="15">
        <v>3370406.0799999991</v>
      </c>
      <c r="BG13" s="15">
        <v>2458081.2300000004</v>
      </c>
      <c r="BH13" s="41">
        <v>2779223.5600000005</v>
      </c>
      <c r="BI13" s="15">
        <v>3277074.9899999984</v>
      </c>
      <c r="BJ13" s="15">
        <v>1832323.9499999955</v>
      </c>
      <c r="BK13" s="15">
        <f>1311466.96-6300</f>
        <v>1305166.96</v>
      </c>
      <c r="BL13" s="15">
        <v>1008735.82</v>
      </c>
      <c r="BM13" s="15">
        <f>3015168.58-146591.69</f>
        <v>2868576.89</v>
      </c>
      <c r="BN13" s="15">
        <f>17721422.47-196494.28-14980457.59</f>
        <v>2544470.5999999978</v>
      </c>
      <c r="BO13" s="15">
        <f>2909884.4-179786.9-882675.86</f>
        <v>1847421.6400000001</v>
      </c>
      <c r="BP13" s="15">
        <f>13681531.3-2470-9856559.8</f>
        <v>3822501.5</v>
      </c>
      <c r="BQ13" s="15">
        <f>17840821.24-21309.3-16423123.27</f>
        <v>1396388.6699999981</v>
      </c>
      <c r="BR13" s="15">
        <f>9779800.28-147592-7600350.75</f>
        <v>2031857.5299999993</v>
      </c>
      <c r="BS13" s="15">
        <f>26039251.69-92738.3-124161.7-24062400.55</f>
        <v>1759951.1400000006</v>
      </c>
      <c r="BT13" s="15">
        <f>24146414.3-282888.43-18810063.66</f>
        <v>5053462.2100000009</v>
      </c>
      <c r="BU13" s="15">
        <f>60046734.39-159231.18-54740881.86</f>
        <v>5146621.3500000015</v>
      </c>
      <c r="BV13" s="15">
        <f>50299376.87-48638040.72</f>
        <v>1661336.1499999985</v>
      </c>
      <c r="BW13" s="15">
        <f>1491361.3-57690</f>
        <v>1433671.3</v>
      </c>
      <c r="BX13" s="15">
        <f>1705750.03-6000-43100.86</f>
        <v>1656649.17</v>
      </c>
      <c r="BY13" s="15">
        <f>11466417.78-8800661.41-6287.14-65048.89</f>
        <v>2594420.3399999989</v>
      </c>
      <c r="BZ13" s="15">
        <f>2472035.53-28590-74065.95-855680</f>
        <v>1513699.5799999996</v>
      </c>
      <c r="CA13" s="15">
        <f>5507892.79-27846-69478.1-1207664.7</f>
        <v>4202903.99</v>
      </c>
      <c r="CB13" s="15">
        <f>16990806.86-29626.65-14640804.54</f>
        <v>2320375.6700000018</v>
      </c>
      <c r="CC13" s="15">
        <f>9774221.69-33850-12702.54-7540000</f>
        <v>2187669.1500000004</v>
      </c>
      <c r="CD13" s="15">
        <f>29879464.31-4997-28120727.03-12312.07</f>
        <v>1741428.2099999974</v>
      </c>
      <c r="CE13" s="15">
        <f>11458150.75-19691.18-10431034.44</f>
        <v>1007425.1300000008</v>
      </c>
      <c r="CF13" s="15">
        <f>16642036.75-12869596.04-397526.24</f>
        <v>3374914.4700000007</v>
      </c>
      <c r="CG13" s="15">
        <f>18433988.1-16575528.62-97011.89</f>
        <v>1761447.5900000024</v>
      </c>
      <c r="CH13" s="15">
        <f>100927643.67-99651655.59-5105.15</f>
        <v>1270882.9299999983</v>
      </c>
      <c r="CI13" s="15">
        <v>3171421.02</v>
      </c>
      <c r="CJ13" s="15">
        <v>1903017.24</v>
      </c>
      <c r="CK13" s="15">
        <v>2844943.0300000003</v>
      </c>
      <c r="CL13" s="15">
        <v>6216241.049999997</v>
      </c>
      <c r="CM13" s="15">
        <v>3932174.64</v>
      </c>
      <c r="CN13" s="15">
        <v>2728283.25</v>
      </c>
      <c r="CO13" s="15">
        <v>4645703.1300000008</v>
      </c>
      <c r="CP13" s="15">
        <v>2244669.2999999998</v>
      </c>
      <c r="CQ13" s="15">
        <v>2715178.0000000056</v>
      </c>
      <c r="CR13" s="15">
        <v>4204888.5</v>
      </c>
      <c r="CS13" s="15">
        <v>6854726.9699999988</v>
      </c>
      <c r="CT13" s="15">
        <v>2442056.1</v>
      </c>
      <c r="CU13" s="15">
        <f>2877439.73-318379.34+30571.7-171432.54</f>
        <v>2418199.5500000003</v>
      </c>
      <c r="CV13" s="15">
        <f>957919.88-49985.43</f>
        <v>907934.45</v>
      </c>
      <c r="CW13" s="15">
        <f>7034382.82-1093535.85</f>
        <v>5940846.9700000007</v>
      </c>
      <c r="CX13" s="15">
        <f>7722808.72-953783.42</f>
        <v>6769025.2999999998</v>
      </c>
      <c r="CY13" s="15">
        <f>3310381.55-2056.79</f>
        <v>3308324.76</v>
      </c>
      <c r="CZ13" s="15">
        <f>7010819.63-45000-749109.76</f>
        <v>6216709.8700000001</v>
      </c>
      <c r="DA13" s="15">
        <f>4047006.47-286526-1000000</f>
        <v>2760480.47</v>
      </c>
      <c r="DB13" s="15">
        <f>9155562.81-12532.8-932271.46+1253.28-3250000</f>
        <v>4962011.83</v>
      </c>
      <c r="DC13" s="15">
        <f>14242264.56-234577.07-9521500</f>
        <v>4486187.49</v>
      </c>
      <c r="DD13" s="15">
        <f>7127990.3-2000-116577.3-2330650.86</f>
        <v>4678762.1400000006</v>
      </c>
      <c r="DE13" s="15">
        <f>26122003.17-283772.8-21173079.82</f>
        <v>4665150.5500000007</v>
      </c>
      <c r="DF13" s="15">
        <f>13500420.95-169999.46-10227770.12</f>
        <v>3102651.3699999992</v>
      </c>
      <c r="DG13" s="15">
        <f>682795.6-49891.07</f>
        <v>632904.53</v>
      </c>
      <c r="DH13" s="15">
        <f>1682316.68-74174.29</f>
        <v>1608142.39</v>
      </c>
      <c r="DI13" s="15">
        <f>894972.29-12948.2-49416.57</f>
        <v>832607.52000000014</v>
      </c>
      <c r="DJ13" s="15">
        <f>10888345.73-1609517.8</f>
        <v>9278827.9299999997</v>
      </c>
      <c r="DK13" s="15">
        <v>4182665.93</v>
      </c>
      <c r="DL13" s="15">
        <v>-13577.68</v>
      </c>
      <c r="DM13" s="15">
        <v>222307.71</v>
      </c>
      <c r="DN13" s="15">
        <v>2886581.6799999997</v>
      </c>
      <c r="DO13" s="15">
        <v>3291170.1000000006</v>
      </c>
      <c r="DP13" s="15">
        <f>9931941.49-10816.65-8000000</f>
        <v>1921124.8399999999</v>
      </c>
      <c r="DQ13" s="15">
        <f>22586357.35-11686.3-2855224.53-9181034.48</f>
        <v>10538412.039999999</v>
      </c>
      <c r="DR13" s="15">
        <f>29495910-115434.22-29495910</f>
        <v>-115434.21999999881</v>
      </c>
      <c r="DS13" s="15">
        <f>1228578.82-432664.12+40929-51814.96</f>
        <v>785028.74000000011</v>
      </c>
      <c r="DT13" s="15">
        <f>5658285.16-1082034.47</f>
        <v>4576250.6900000004</v>
      </c>
      <c r="DU13" s="15">
        <f>2249669.3-16309.34-123591.74</f>
        <v>2109768.2199999997</v>
      </c>
      <c r="DV13" s="15">
        <f>9881674.22-1753694.31</f>
        <v>8127979.9100000001</v>
      </c>
      <c r="DW13" s="15">
        <f>4985592.15-102923.44-2586206.9</f>
        <v>2296461.81</v>
      </c>
      <c r="DX13" s="15">
        <f>6655493.61-160583.13-1862068.96</f>
        <v>4632841.5200000005</v>
      </c>
      <c r="DY13" s="15">
        <f>8268577.36-157779.63-1000000</f>
        <v>7110797.7300000004</v>
      </c>
      <c r="DZ13" s="15">
        <f>4683004.47-444341.91</f>
        <v>4238662.5599999996</v>
      </c>
      <c r="EA13" s="15">
        <f>15527447.42-453804.47-5787285.8</f>
        <v>9286357.1499999985</v>
      </c>
      <c r="EB13" s="15">
        <f>3489840.6-153362.25-1296525</f>
        <v>2039953.35</v>
      </c>
      <c r="EC13" s="15">
        <f>13602165.54-610662.52-7775862.07</f>
        <v>5215640.9499999993</v>
      </c>
      <c r="ED13" s="15">
        <f>38870832.02-972071.68-35010965.14</f>
        <v>2887795.200000003</v>
      </c>
      <c r="EE13" s="15">
        <f>3300897.99-356149.75</f>
        <v>2944748.24</v>
      </c>
      <c r="EF13" s="15">
        <f>5518694.12-565938.93</f>
        <v>4952755.1900000004</v>
      </c>
      <c r="EG13" s="15">
        <f>4273206.91-69326.6</f>
        <v>4203880.3100000005</v>
      </c>
      <c r="EH13" s="15">
        <f>3222909.29-112299</f>
        <v>3110610.29</v>
      </c>
      <c r="EI13" s="15">
        <f>3557935.5-904.8-1250000</f>
        <v>2307030.7000000002</v>
      </c>
      <c r="EJ13" s="15">
        <f>7721639.11-904.8-5476689.64</f>
        <v>2244044.6700000009</v>
      </c>
      <c r="EK13" s="15">
        <f>8640237.94-369514.94-2120689.64</f>
        <v>6150033.3599999994</v>
      </c>
      <c r="EL13" s="15">
        <f>13618075.27-205549.8-3948275.86</f>
        <v>9464249.6099999994</v>
      </c>
      <c r="EM13" s="15">
        <f>8508948.86-41833.8-4008620.69</f>
        <v>4458494.3699999992</v>
      </c>
      <c r="EN13" s="15">
        <f>3868699.41-41833.8</f>
        <v>3826865.6100000003</v>
      </c>
      <c r="EO13" s="15">
        <f>29229152.06-41833.8-27022524.13</f>
        <v>2164794.129999999</v>
      </c>
      <c r="EP13" s="15">
        <f>23610141.7-13300074.32-693250.52-189790</f>
        <v>9427026.8599999994</v>
      </c>
      <c r="EQ13" s="67">
        <f>1457355.48-40929</f>
        <v>1416426.48</v>
      </c>
      <c r="ER13" s="67">
        <f>15820767.02-186183.26</f>
        <v>15634583.76</v>
      </c>
      <c r="ES13" s="67">
        <f>3768028.46-217348.79</f>
        <v>3550679.67</v>
      </c>
      <c r="ET13" s="78">
        <f>9317781.82-0</f>
        <v>9317781.8200000003</v>
      </c>
      <c r="EU13" s="78">
        <f>8126999.98-3500000</f>
        <v>4626999.9800000004</v>
      </c>
      <c r="EV13" s="78">
        <f>5439912.96-112744</f>
        <v>5327168.96</v>
      </c>
      <c r="EW13" s="78">
        <f>8471994.2-5059482.76</f>
        <v>3412511.4399999995</v>
      </c>
      <c r="EX13" s="78">
        <f>12589978.42-3922413.79</f>
        <v>8667564.629999999</v>
      </c>
      <c r="EY13" s="78">
        <f>5644420.84-1327586.21</f>
        <v>4316834.63</v>
      </c>
      <c r="EZ13" s="78">
        <f>14824037.25-9275862.07-327432</f>
        <v>5220743.18</v>
      </c>
      <c r="FA13" s="78">
        <f>12450609.54-5379310.34-40929</f>
        <v>7030370.1999999993</v>
      </c>
      <c r="FB13" s="78">
        <f>40828535.68-31365221.03-40929</f>
        <v>9422385.6499999985</v>
      </c>
      <c r="FC13" s="78">
        <v>2442967.2999999998</v>
      </c>
      <c r="FD13" s="78">
        <v>10326508.210000001</v>
      </c>
      <c r="FE13" s="78">
        <v>1842944.12</v>
      </c>
      <c r="FF13" s="78">
        <f>8791090.13-1200000</f>
        <v>7591090.1300000008</v>
      </c>
      <c r="FG13" s="78">
        <f>8194151.58-1750000</f>
        <v>6444151.5800000001</v>
      </c>
      <c r="FH13" s="78">
        <f>17547245.89-14578879.32</f>
        <v>2968366.5700000003</v>
      </c>
      <c r="FI13" s="78">
        <f>22598456.34-14797374.65</f>
        <v>7801081.6899999995</v>
      </c>
      <c r="FJ13" s="78">
        <f>16122218.42-9588448.28</f>
        <v>6533770.1400000006</v>
      </c>
      <c r="FK13" s="78">
        <f>54080407.92-49857845.79</f>
        <v>4222562.1300000027</v>
      </c>
    </row>
    <row r="14" spans="1:167" s="11" customFormat="1" ht="24.95" customHeight="1">
      <c r="A14" s="14" t="s">
        <v>3</v>
      </c>
      <c r="B14" s="15">
        <v>0</v>
      </c>
      <c r="C14" s="15">
        <f>47335.5-154.05</f>
        <v>47181.45</v>
      </c>
      <c r="D14" s="15">
        <f>169914.9-45078.55-65361.66</f>
        <v>59474.689999999988</v>
      </c>
      <c r="E14" s="15">
        <f>44458.2-579362-3525.5+174893.5</f>
        <v>-363535.80000000005</v>
      </c>
      <c r="F14" s="15">
        <f>99323-29637.4-9708.55</f>
        <v>59977.05</v>
      </c>
      <c r="G14" s="15">
        <f>36077-793.65</f>
        <v>35283.35</v>
      </c>
      <c r="H14" s="15">
        <f>34290.9-54476.6-4524.9</f>
        <v>-24710.6</v>
      </c>
      <c r="I14" s="15">
        <v>5550</v>
      </c>
      <c r="J14" s="15">
        <f>49800-14400</f>
        <v>35400</v>
      </c>
      <c r="K14" s="15">
        <v>395658.5</v>
      </c>
      <c r="L14" s="15">
        <v>-180431.25</v>
      </c>
      <c r="M14" s="15">
        <v>35949.5</v>
      </c>
      <c r="N14" s="15">
        <v>16500</v>
      </c>
      <c r="O14" s="15">
        <v>166399.45000000001</v>
      </c>
      <c r="P14" s="15">
        <v>55058.950000000004</v>
      </c>
      <c r="Q14" s="15">
        <v>23100</v>
      </c>
      <c r="R14" s="15">
        <v>295204.59999999998</v>
      </c>
      <c r="S14" s="15">
        <v>156484.85</v>
      </c>
      <c r="T14" s="15">
        <v>40387.269999999997</v>
      </c>
      <c r="U14" s="15">
        <v>52553.989999999991</v>
      </c>
      <c r="V14" s="15">
        <v>9540</v>
      </c>
      <c r="W14" s="15">
        <v>51587.75</v>
      </c>
      <c r="X14" s="15">
        <v>22920</v>
      </c>
      <c r="Y14" s="15">
        <v>25195</v>
      </c>
      <c r="Z14" s="15">
        <v>2700</v>
      </c>
      <c r="AA14" s="15">
        <v>-2614.67</v>
      </c>
      <c r="AB14" s="15">
        <v>46551.5</v>
      </c>
      <c r="AC14" s="15">
        <v>16700</v>
      </c>
      <c r="AD14" s="15">
        <v>178217.5</v>
      </c>
      <c r="AE14" s="15">
        <v>29000</v>
      </c>
      <c r="AF14" s="15">
        <v>15080</v>
      </c>
      <c r="AG14" s="15">
        <v>43499.9</v>
      </c>
      <c r="AH14" s="15">
        <v>24040</v>
      </c>
      <c r="AI14" s="15">
        <v>197686</v>
      </c>
      <c r="AJ14" s="15">
        <v>22707.979999999996</v>
      </c>
      <c r="AK14" s="15">
        <v>26390</v>
      </c>
      <c r="AL14" s="15">
        <v>71074.3</v>
      </c>
      <c r="AM14" s="15">
        <v>7475</v>
      </c>
      <c r="AN14" s="15">
        <v>24740</v>
      </c>
      <c r="AO14" s="15">
        <v>69754.62</v>
      </c>
      <c r="AP14" s="15">
        <v>33000</v>
      </c>
      <c r="AQ14" s="15">
        <v>16000</v>
      </c>
      <c r="AR14" s="15">
        <v>21800</v>
      </c>
      <c r="AS14" s="15">
        <v>27379</v>
      </c>
      <c r="AT14" s="15">
        <v>180800</v>
      </c>
      <c r="AU14" s="15">
        <v>16100</v>
      </c>
      <c r="AV14" s="15">
        <v>189510.35</v>
      </c>
      <c r="AW14" s="15">
        <v>212650.27999999997</v>
      </c>
      <c r="AX14" s="15">
        <v>438481.75</v>
      </c>
      <c r="AY14" s="15">
        <v>30289.4</v>
      </c>
      <c r="AZ14" s="15">
        <v>13280</v>
      </c>
      <c r="BA14" s="15">
        <v>208170.98</v>
      </c>
      <c r="BB14" s="15">
        <v>64724.41</v>
      </c>
      <c r="BC14" s="15">
        <v>155579.18</v>
      </c>
      <c r="BD14" s="15">
        <v>219099.97</v>
      </c>
      <c r="BE14" s="15">
        <v>-149980</v>
      </c>
      <c r="BF14" s="15">
        <v>21015</v>
      </c>
      <c r="BG14" s="15">
        <v>18633</v>
      </c>
      <c r="BH14" s="41">
        <v>633138</v>
      </c>
      <c r="BI14" s="15">
        <v>7121122.75</v>
      </c>
      <c r="BJ14" s="15">
        <v>64109.98</v>
      </c>
      <c r="BK14" s="15">
        <f>31589.98-1000</f>
        <v>30589.98</v>
      </c>
      <c r="BL14" s="15">
        <v>46758.98</v>
      </c>
      <c r="BM14" s="15">
        <f>225584.58-5997.55</f>
        <v>219587.03</v>
      </c>
      <c r="BN14" s="15">
        <f>472342.8-6660</f>
        <v>465682.8</v>
      </c>
      <c r="BO14" s="15">
        <f>76844.98-17434.15</f>
        <v>59410.829999999994</v>
      </c>
      <c r="BP14" s="15">
        <f>487142.88-12600</f>
        <v>474542.88</v>
      </c>
      <c r="BQ14" s="15">
        <f>19381.7-1950</f>
        <v>17431.7</v>
      </c>
      <c r="BR14" s="15">
        <f>33000-4800</f>
        <v>28200</v>
      </c>
      <c r="BS14" s="15">
        <v>126960</v>
      </c>
      <c r="BT14" s="15">
        <v>1084112.8500000001</v>
      </c>
      <c r="BU14" s="15">
        <v>111257</v>
      </c>
      <c r="BV14" s="15">
        <v>234240</v>
      </c>
      <c r="BW14" s="15">
        <v>13250</v>
      </c>
      <c r="BX14" s="15">
        <f>45000-22750</f>
        <v>22250</v>
      </c>
      <c r="BY14" s="15">
        <f>139150-48222.5</f>
        <v>90927.5</v>
      </c>
      <c r="BZ14" s="15">
        <v>457652.5</v>
      </c>
      <c r="CA14" s="15">
        <f>48958-12900</f>
        <v>36058</v>
      </c>
      <c r="CB14" s="15">
        <f>76395.12-15555</f>
        <v>60840.119999999995</v>
      </c>
      <c r="CC14" s="15">
        <v>-85410</v>
      </c>
      <c r="CD14" s="15">
        <f>96300-19290</f>
        <v>77010</v>
      </c>
      <c r="CE14" s="15">
        <f>86300-20790</f>
        <v>65510</v>
      </c>
      <c r="CF14" s="15">
        <f>5000-1500</f>
        <v>3500</v>
      </c>
      <c r="CG14" s="15">
        <f>217600-63480</f>
        <v>154120</v>
      </c>
      <c r="CH14" s="15">
        <f>830009-54504.54</f>
        <v>775504.46</v>
      </c>
      <c r="CI14" s="15">
        <v>52840</v>
      </c>
      <c r="CJ14" s="15">
        <v>20100</v>
      </c>
      <c r="CK14" s="15">
        <v>218959.5</v>
      </c>
      <c r="CL14" s="15">
        <v>104120</v>
      </c>
      <c r="CM14" s="15">
        <v>33800</v>
      </c>
      <c r="CN14" s="15">
        <v>97855</v>
      </c>
      <c r="CO14" s="15">
        <v>481101.6</v>
      </c>
      <c r="CP14" s="15">
        <v>81010</v>
      </c>
      <c r="CQ14" s="15">
        <v>45210</v>
      </c>
      <c r="CR14" s="15">
        <v>242830</v>
      </c>
      <c r="CS14" s="15">
        <v>156400</v>
      </c>
      <c r="CT14" s="15">
        <v>1186690</v>
      </c>
      <c r="CU14" s="15">
        <f>132800-18690</f>
        <v>114110</v>
      </c>
      <c r="CV14" s="15">
        <v>637375.6</v>
      </c>
      <c r="CW14" s="15">
        <f>460011.4-620375.6</f>
        <v>-160364.19999999995</v>
      </c>
      <c r="CX14" s="15">
        <v>3000</v>
      </c>
      <c r="CY14" s="15">
        <v>3715</v>
      </c>
      <c r="CZ14" s="15">
        <v>13000</v>
      </c>
      <c r="DA14" s="15">
        <f>33856-3000+900</f>
        <v>31756</v>
      </c>
      <c r="DB14" s="15">
        <f>19000-600-2600</f>
        <v>15800</v>
      </c>
      <c r="DC14" s="15">
        <f>11000-500</f>
        <v>10500</v>
      </c>
      <c r="DD14" s="15">
        <v>29000</v>
      </c>
      <c r="DE14" s="15">
        <v>22000</v>
      </c>
      <c r="DF14" s="15">
        <v>21720</v>
      </c>
      <c r="DG14" s="15">
        <v>2540</v>
      </c>
      <c r="DH14" s="15">
        <v>795900</v>
      </c>
      <c r="DI14" s="15">
        <f>17000</f>
        <v>17000</v>
      </c>
      <c r="DJ14" s="15"/>
      <c r="DK14" s="15"/>
      <c r="DL14" s="15">
        <v>867588.2</v>
      </c>
      <c r="DM14" s="15"/>
      <c r="DN14" s="15"/>
      <c r="DO14" s="15"/>
      <c r="DP14" s="15">
        <f>257977.5-230158.91</f>
        <v>27818.589999999997</v>
      </c>
      <c r="DQ14" s="15">
        <v>1440</v>
      </c>
      <c r="DR14" s="15">
        <f>119852.5</f>
        <v>119852.5</v>
      </c>
      <c r="DS14" s="15">
        <v>0</v>
      </c>
      <c r="DT14" s="15">
        <f>5000</f>
        <v>5000</v>
      </c>
      <c r="DU14" s="15">
        <f>4000</f>
        <v>4000</v>
      </c>
      <c r="DV14" s="15">
        <f>91100-62625</f>
        <v>28475</v>
      </c>
      <c r="DW14" s="15">
        <f>14000</f>
        <v>14000</v>
      </c>
      <c r="DX14" s="15">
        <f>1640</f>
        <v>1640</v>
      </c>
      <c r="DY14" s="15">
        <f>398140-291450</f>
        <v>106690</v>
      </c>
      <c r="DZ14" s="15">
        <f>6000</f>
        <v>6000</v>
      </c>
      <c r="EA14" s="15"/>
      <c r="EB14" s="15">
        <f>95040-50375</f>
        <v>44665</v>
      </c>
      <c r="EC14" s="15">
        <f>361077-249028.9</f>
        <v>112048.1</v>
      </c>
      <c r="ED14" s="15">
        <f>365864-239168.4</f>
        <v>126695.6</v>
      </c>
      <c r="EE14" s="15">
        <f>27200-9720</f>
        <v>17480</v>
      </c>
      <c r="EF14" s="15">
        <v>4000</v>
      </c>
      <c r="EG14" s="15">
        <f>34358-7800</f>
        <v>26558</v>
      </c>
      <c r="EH14" s="15">
        <f>5000</f>
        <v>5000</v>
      </c>
      <c r="EI14" s="15">
        <f>121636-71298.5</f>
        <v>50337.5</v>
      </c>
      <c r="EJ14" s="15">
        <f>28000</f>
        <v>28000</v>
      </c>
      <c r="EK14" s="15">
        <f>399000-230860</f>
        <v>168140</v>
      </c>
      <c r="EL14" s="15">
        <f>296600-192140</f>
        <v>104460</v>
      </c>
      <c r="EM14" s="15">
        <f>31500-1300</f>
        <v>30200</v>
      </c>
      <c r="EN14" s="15">
        <f>43500-9600</f>
        <v>33900</v>
      </c>
      <c r="EO14" s="15">
        <f>936224-711078</f>
        <v>225146</v>
      </c>
      <c r="EP14" s="15">
        <f>692240-233148</f>
        <v>459092</v>
      </c>
      <c r="EQ14" s="67">
        <f>240100-158270</f>
        <v>81830</v>
      </c>
      <c r="ER14" s="67">
        <f>63250-43687.5</f>
        <v>19562.5</v>
      </c>
      <c r="ES14" s="67">
        <f>21200-0</f>
        <v>21200</v>
      </c>
      <c r="ET14" s="78">
        <f>66500-42000</f>
        <v>24500</v>
      </c>
      <c r="EU14" s="78">
        <v>25000</v>
      </c>
      <c r="EV14" s="78">
        <f>15500-4800</f>
        <v>10700</v>
      </c>
      <c r="EW14" s="78">
        <v>109991.94</v>
      </c>
      <c r="EX14" s="78">
        <f>191534.74-33150</f>
        <v>158384.74</v>
      </c>
      <c r="EY14" s="78">
        <f>174334.74-7995</f>
        <v>166339.74</v>
      </c>
      <c r="EZ14" s="78">
        <f>149506.2-14410</f>
        <v>135096.20000000001</v>
      </c>
      <c r="FA14" s="78">
        <f>30600-14040</f>
        <v>16560</v>
      </c>
      <c r="FB14" s="78">
        <f>520948.48-118170</f>
        <v>402778.48</v>
      </c>
      <c r="FC14" s="78">
        <v>39964.019999999997</v>
      </c>
      <c r="FD14" s="78">
        <f>68700-34905</f>
        <v>33795</v>
      </c>
      <c r="FE14" s="78">
        <f>124185.2-27690</f>
        <v>96495.2</v>
      </c>
      <c r="FF14" s="78">
        <f>81264.02-33345</f>
        <v>47919.020000000004</v>
      </c>
      <c r="FG14" s="78">
        <f>74592.6-28080</f>
        <v>46512.600000000006</v>
      </c>
      <c r="FH14" s="78">
        <f>50464.02-5850</f>
        <v>44614.02</v>
      </c>
      <c r="FI14" s="78">
        <f>14500-1400</f>
        <v>13100</v>
      </c>
      <c r="FJ14" s="78">
        <v>9800</v>
      </c>
      <c r="FK14" s="78">
        <f>36000-6825</f>
        <v>29175</v>
      </c>
    </row>
    <row r="15" spans="1:167" s="11" customFormat="1" ht="24.95" customHeight="1">
      <c r="A15" s="14" t="s">
        <v>4</v>
      </c>
      <c r="B15" s="15">
        <v>0</v>
      </c>
      <c r="C15" s="15">
        <v>0</v>
      </c>
      <c r="D15" s="15">
        <v>0</v>
      </c>
      <c r="E15" s="15">
        <v>1480000</v>
      </c>
      <c r="F15" s="15">
        <v>1512174.23</v>
      </c>
      <c r="G15" s="15">
        <v>3531229.93</v>
      </c>
      <c r="H15" s="15">
        <f>4649079.5-202834.45</f>
        <v>4446245.05</v>
      </c>
      <c r="I15" s="15">
        <v>172413.79</v>
      </c>
      <c r="J15" s="15">
        <v>5581569.6100000003</v>
      </c>
      <c r="K15" s="15">
        <v>13106239.380000001</v>
      </c>
      <c r="L15" s="15">
        <v>6842426.3699999992</v>
      </c>
      <c r="M15" s="15">
        <v>34596446.490000002</v>
      </c>
      <c r="N15" s="15">
        <v>44567938.049999997</v>
      </c>
      <c r="O15" s="15">
        <v>0</v>
      </c>
      <c r="P15" s="15">
        <v>539870.69999999995</v>
      </c>
      <c r="Q15" s="15">
        <v>40731348.520000003</v>
      </c>
      <c r="R15" s="15">
        <v>40700339.07</v>
      </c>
      <c r="S15" s="15">
        <v>47874605.709999993</v>
      </c>
      <c r="T15" s="15">
        <v>142196943.08999997</v>
      </c>
      <c r="U15" s="15">
        <v>220085312.69999999</v>
      </c>
      <c r="V15" s="15">
        <v>-5766291.7800000012</v>
      </c>
      <c r="W15" s="15">
        <v>17515135.120000005</v>
      </c>
      <c r="X15" s="15">
        <v>23961584.75</v>
      </c>
      <c r="Y15" s="15">
        <v>48114859.219999999</v>
      </c>
      <c r="Z15" s="15">
        <v>4474517.6099999994</v>
      </c>
      <c r="AA15" s="15">
        <v>1688966.31</v>
      </c>
      <c r="AB15" s="15">
        <v>1099311.1400000001</v>
      </c>
      <c r="AC15" s="15">
        <v>1832368.9699999997</v>
      </c>
      <c r="AD15" s="15">
        <v>39619900.75</v>
      </c>
      <c r="AE15" s="15">
        <v>22143716.140000001</v>
      </c>
      <c r="AF15" s="15">
        <v>38006403.090000004</v>
      </c>
      <c r="AG15" s="15">
        <v>30615488.59</v>
      </c>
      <c r="AH15" s="15">
        <v>11301774.08</v>
      </c>
      <c r="AI15" s="15">
        <v>32675381.359999999</v>
      </c>
      <c r="AJ15" s="15">
        <v>65606618.260000005</v>
      </c>
      <c r="AK15" s="15">
        <v>86212726.939999998</v>
      </c>
      <c r="AL15" s="15">
        <v>240642845.49000001</v>
      </c>
      <c r="AM15" s="15">
        <v>80236963.659999996</v>
      </c>
      <c r="AN15" s="15">
        <v>-3050269.25</v>
      </c>
      <c r="AO15" s="15">
        <v>0</v>
      </c>
      <c r="AP15" s="15">
        <v>3675729.01</v>
      </c>
      <c r="AQ15" s="15">
        <v>5061533.34</v>
      </c>
      <c r="AR15" s="15">
        <v>-28962159.849999998</v>
      </c>
      <c r="AS15" s="15">
        <v>37182697.950000003</v>
      </c>
      <c r="AT15" s="15">
        <v>28966282.299999997</v>
      </c>
      <c r="AU15" s="15">
        <v>34211260.479999997</v>
      </c>
      <c r="AV15" s="15">
        <v>28066823.829999998</v>
      </c>
      <c r="AW15" s="15">
        <v>11618998.25</v>
      </c>
      <c r="AX15" s="15">
        <v>48390543.329999998</v>
      </c>
      <c r="AY15" s="15">
        <v>10012837.76</v>
      </c>
      <c r="AZ15" s="15">
        <v>5000</v>
      </c>
      <c r="BA15" s="15">
        <v>781862.07</v>
      </c>
      <c r="BB15" s="15">
        <v>23582649.859999999</v>
      </c>
      <c r="BC15" s="15">
        <v>500000</v>
      </c>
      <c r="BD15" s="15">
        <v>14951327.630000001</v>
      </c>
      <c r="BE15" s="15">
        <v>1566262</v>
      </c>
      <c r="BF15" s="15">
        <v>6543923.6100000003</v>
      </c>
      <c r="BG15" s="15">
        <v>10940428.279999999</v>
      </c>
      <c r="BH15" s="41">
        <v>7697819.4199999999</v>
      </c>
      <c r="BI15" s="15">
        <v>30716515.09</v>
      </c>
      <c r="BJ15" s="15">
        <v>39916169.460000001</v>
      </c>
      <c r="BK15" s="15">
        <v>0</v>
      </c>
      <c r="BL15" s="15">
        <v>0</v>
      </c>
      <c r="BM15" s="15">
        <v>0</v>
      </c>
      <c r="BN15" s="15">
        <v>14980457.59</v>
      </c>
      <c r="BO15" s="15">
        <v>882675.86</v>
      </c>
      <c r="BP15" s="15">
        <v>9856559.8017241377</v>
      </c>
      <c r="BQ15" s="15">
        <v>16423123.27</v>
      </c>
      <c r="BR15" s="15">
        <v>7600350.75</v>
      </c>
      <c r="BS15" s="15">
        <v>24062400.550000001</v>
      </c>
      <c r="BT15" s="15">
        <v>18810063.655172415</v>
      </c>
      <c r="BU15" s="15">
        <v>54740881.862068973</v>
      </c>
      <c r="BV15" s="15">
        <f>48638040.72-4085760</f>
        <v>44552280.719999999</v>
      </c>
      <c r="BW15" s="15">
        <v>0</v>
      </c>
      <c r="BX15" s="15">
        <v>6000</v>
      </c>
      <c r="BY15" s="15">
        <v>8800661.4100000001</v>
      </c>
      <c r="BZ15" s="15">
        <v>855680</v>
      </c>
      <c r="CA15" s="15">
        <v>1207664.7</v>
      </c>
      <c r="CB15" s="15">
        <v>14640804.539999999</v>
      </c>
      <c r="CC15" s="15">
        <v>7540000</v>
      </c>
      <c r="CD15" s="15">
        <v>28120727.030000001</v>
      </c>
      <c r="CE15" s="15">
        <v>10431034.439999999</v>
      </c>
      <c r="CF15" s="15">
        <v>12869596.039999999</v>
      </c>
      <c r="CG15" s="15">
        <v>16575528.619999999</v>
      </c>
      <c r="CH15" s="15">
        <v>99651655.590000004</v>
      </c>
      <c r="CI15" s="15">
        <v>0</v>
      </c>
      <c r="CJ15" s="15"/>
      <c r="CK15" s="15"/>
      <c r="CL15" s="15">
        <v>35052494.490000002</v>
      </c>
      <c r="CM15" s="15">
        <v>88613.28</v>
      </c>
      <c r="CN15" s="15">
        <v>0</v>
      </c>
      <c r="CO15" s="15">
        <v>3985444.69</v>
      </c>
      <c r="CP15" s="15">
        <v>4310344.83</v>
      </c>
      <c r="CQ15" s="15">
        <v>58863657.229999997</v>
      </c>
      <c r="CR15" s="15">
        <v>33023707.07</v>
      </c>
      <c r="CS15" s="15">
        <v>37262921.560000002</v>
      </c>
      <c r="CT15" s="15">
        <v>0</v>
      </c>
      <c r="CU15" s="15">
        <v>0</v>
      </c>
      <c r="CV15" s="15">
        <v>0</v>
      </c>
      <c r="CW15" s="15">
        <v>0</v>
      </c>
      <c r="CX15" s="15">
        <v>0</v>
      </c>
      <c r="CY15" s="15">
        <v>0</v>
      </c>
      <c r="CZ15" s="15">
        <v>0</v>
      </c>
      <c r="DA15" s="15">
        <v>1000000</v>
      </c>
      <c r="DB15" s="15">
        <v>3250000</v>
      </c>
      <c r="DC15" s="15">
        <v>9521500</v>
      </c>
      <c r="DD15" s="15">
        <v>2330650.86</v>
      </c>
      <c r="DE15" s="15">
        <v>21173079.82</v>
      </c>
      <c r="DF15" s="15">
        <v>10227770.119999999</v>
      </c>
      <c r="DG15" s="15"/>
      <c r="DH15" s="15"/>
      <c r="DI15" s="15"/>
      <c r="DJ15" s="15"/>
      <c r="DK15" s="15"/>
      <c r="DL15" s="15"/>
      <c r="DM15" s="15">
        <v>4094827.58</v>
      </c>
      <c r="DN15" s="15">
        <v>7000000</v>
      </c>
      <c r="DO15" s="15">
        <v>294443.96000000002</v>
      </c>
      <c r="DP15" s="15">
        <v>8000000</v>
      </c>
      <c r="DQ15" s="15">
        <v>9181034.4800000004</v>
      </c>
      <c r="DR15" s="15">
        <v>29495910</v>
      </c>
      <c r="DS15" s="15">
        <v>0</v>
      </c>
      <c r="DT15" s="15"/>
      <c r="DU15" s="15"/>
      <c r="DV15" s="15"/>
      <c r="DW15" s="15">
        <v>2586206.9</v>
      </c>
      <c r="DX15" s="15">
        <v>1862068.96</v>
      </c>
      <c r="DY15" s="15">
        <v>1000000</v>
      </c>
      <c r="DZ15" s="15"/>
      <c r="EA15" s="15">
        <v>5787285.7999999998</v>
      </c>
      <c r="EB15" s="15">
        <f>1296525</f>
        <v>1296525</v>
      </c>
      <c r="EC15" s="15">
        <v>7775862.0700000003</v>
      </c>
      <c r="ED15" s="15">
        <v>35010965.140000001</v>
      </c>
      <c r="EE15" s="15">
        <v>0</v>
      </c>
      <c r="EF15" s="15"/>
      <c r="EG15" s="15"/>
      <c r="EH15" s="15"/>
      <c r="EI15" s="15">
        <v>1250000</v>
      </c>
      <c r="EJ15" s="15">
        <v>5476689.6399999997</v>
      </c>
      <c r="EK15" s="15">
        <v>2120689.64</v>
      </c>
      <c r="EL15" s="15">
        <v>3948275.86</v>
      </c>
      <c r="EM15" s="15">
        <v>4008620.69</v>
      </c>
      <c r="EN15" s="15">
        <v>0</v>
      </c>
      <c r="EO15" s="15">
        <v>27022524.129999999</v>
      </c>
      <c r="EP15" s="15">
        <v>13300074.32</v>
      </c>
      <c r="EQ15" s="67">
        <v>0</v>
      </c>
      <c r="ER15" s="67">
        <v>0</v>
      </c>
      <c r="ES15" s="67">
        <v>0</v>
      </c>
      <c r="ET15" s="78">
        <v>0</v>
      </c>
      <c r="EU15" s="78">
        <v>3500000</v>
      </c>
      <c r="EV15" s="78">
        <v>0</v>
      </c>
      <c r="EW15" s="78">
        <v>5059482.76</v>
      </c>
      <c r="EX15" s="78">
        <v>3922413.79</v>
      </c>
      <c r="EY15" s="78">
        <v>1327586.21</v>
      </c>
      <c r="EZ15" s="78">
        <v>9275862.0700000003</v>
      </c>
      <c r="FA15" s="78">
        <v>5379310.3399999999</v>
      </c>
      <c r="FB15" s="78">
        <v>31365221.030000001</v>
      </c>
      <c r="FC15" s="78">
        <v>0</v>
      </c>
      <c r="FD15" s="78">
        <v>0</v>
      </c>
      <c r="FE15" s="78">
        <v>0</v>
      </c>
      <c r="FF15" s="78">
        <v>1200000</v>
      </c>
      <c r="FG15" s="78">
        <v>1750000</v>
      </c>
      <c r="FH15" s="78">
        <v>14578879.32</v>
      </c>
      <c r="FI15" s="78">
        <v>14797374.65</v>
      </c>
      <c r="FJ15" s="78">
        <v>9588448.2799999993</v>
      </c>
      <c r="FK15" s="78">
        <v>49857845.789999999</v>
      </c>
    </row>
    <row r="16" spans="1:167" s="11" customFormat="1" ht="24.95" customHeight="1">
      <c r="A16" s="14" t="s">
        <v>17</v>
      </c>
      <c r="B16" s="15"/>
      <c r="C16" s="15">
        <v>0</v>
      </c>
      <c r="D16" s="15">
        <f>107961.83-105822.24</f>
        <v>2139.5899999999965</v>
      </c>
      <c r="E16" s="15">
        <v>0</v>
      </c>
      <c r="F16" s="15">
        <v>0</v>
      </c>
      <c r="G16" s="15">
        <v>47905</v>
      </c>
      <c r="H16" s="15">
        <v>4872.8599999999997</v>
      </c>
      <c r="I16" s="15">
        <v>0</v>
      </c>
      <c r="J16" s="15">
        <f>9682-9682</f>
        <v>0</v>
      </c>
      <c r="K16" s="15">
        <v>0</v>
      </c>
      <c r="L16" s="15">
        <v>0</v>
      </c>
      <c r="M16" s="15">
        <v>0</v>
      </c>
      <c r="N16" s="15">
        <v>120107.15</v>
      </c>
      <c r="O16" s="15">
        <v>0</v>
      </c>
      <c r="P16" s="15">
        <v>4254.8100000000004</v>
      </c>
      <c r="Q16" s="15">
        <v>-2816.8099999999977</v>
      </c>
      <c r="R16" s="15">
        <v>6717</v>
      </c>
      <c r="S16" s="15">
        <v>0</v>
      </c>
      <c r="T16" s="15">
        <v>5000000</v>
      </c>
      <c r="U16" s="15">
        <v>0</v>
      </c>
      <c r="V16" s="15">
        <v>0</v>
      </c>
      <c r="W16" s="15">
        <v>0</v>
      </c>
      <c r="X16" s="15">
        <v>-6561.74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9339.73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736.57</v>
      </c>
      <c r="BB16" s="15">
        <v>0</v>
      </c>
      <c r="BC16" s="15">
        <v>0</v>
      </c>
      <c r="BD16" s="15">
        <v>0</v>
      </c>
      <c r="BE16" s="15">
        <v>5374.51</v>
      </c>
      <c r="BF16" s="15">
        <v>0</v>
      </c>
      <c r="BG16" s="15">
        <v>0</v>
      </c>
      <c r="BH16" s="15">
        <v>94422.57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/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/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15"/>
      <c r="DH16" s="15"/>
      <c r="DI16" s="15"/>
      <c r="DJ16" s="15"/>
      <c r="DK16" s="15"/>
      <c r="DL16" s="15"/>
      <c r="DM16" s="15"/>
      <c r="DN16" s="15"/>
      <c r="DO16" s="15"/>
      <c r="DP16" s="15">
        <v>0</v>
      </c>
      <c r="DQ16" s="15">
        <v>0</v>
      </c>
      <c r="DR16" s="15">
        <v>0</v>
      </c>
      <c r="DS16" s="15">
        <v>0</v>
      </c>
      <c r="DT16" s="15">
        <v>0</v>
      </c>
      <c r="DU16" s="15">
        <v>0</v>
      </c>
      <c r="DV16" s="15">
        <v>0</v>
      </c>
      <c r="DW16" s="15">
        <v>0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0</v>
      </c>
      <c r="EL16" s="15">
        <v>0</v>
      </c>
      <c r="EM16" s="15">
        <v>0</v>
      </c>
      <c r="EN16" s="15">
        <v>0</v>
      </c>
      <c r="EO16" s="15">
        <v>0</v>
      </c>
      <c r="EP16" s="15">
        <v>0</v>
      </c>
      <c r="EQ16" s="67">
        <v>0</v>
      </c>
      <c r="ER16" s="67">
        <v>0</v>
      </c>
      <c r="ES16" s="67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0</v>
      </c>
    </row>
    <row r="17" spans="1:167" s="70" customFormat="1" ht="24.95" customHeight="1" thickBot="1">
      <c r="C17" s="71">
        <f>SUM(C11:C16)</f>
        <v>1824580.11</v>
      </c>
      <c r="D17" s="71">
        <f t="shared" ref="D17:BO17" si="8">SUM(D11:D16)</f>
        <v>2709101.4999999995</v>
      </c>
      <c r="E17" s="71">
        <f t="shared" si="8"/>
        <v>3883842.75</v>
      </c>
      <c r="F17" s="71">
        <f t="shared" si="8"/>
        <v>4315722.3900000006</v>
      </c>
      <c r="G17" s="71">
        <f t="shared" si="8"/>
        <v>6917157.1199999992</v>
      </c>
      <c r="H17" s="71">
        <f t="shared" si="8"/>
        <v>8427253.7599999998</v>
      </c>
      <c r="I17" s="71">
        <f t="shared" si="8"/>
        <v>2262249.4300000002</v>
      </c>
      <c r="J17" s="71">
        <f t="shared" si="8"/>
        <v>9152457.8999999985</v>
      </c>
      <c r="K17" s="71">
        <f t="shared" si="8"/>
        <v>15003476.970000001</v>
      </c>
      <c r="L17" s="71">
        <f t="shared" si="8"/>
        <v>9075011.0599999987</v>
      </c>
      <c r="M17" s="71">
        <f t="shared" si="8"/>
        <v>38349379.960000001</v>
      </c>
      <c r="N17" s="71">
        <f t="shared" si="8"/>
        <v>47918403.709999993</v>
      </c>
      <c r="O17" s="71">
        <f t="shared" si="8"/>
        <v>3347202.87</v>
      </c>
      <c r="P17" s="71">
        <f t="shared" si="8"/>
        <v>7219690.1600000001</v>
      </c>
      <c r="Q17" s="71">
        <f t="shared" si="8"/>
        <v>47128364.829999998</v>
      </c>
      <c r="R17" s="71">
        <f t="shared" si="8"/>
        <v>44791266.519999996</v>
      </c>
      <c r="S17" s="71">
        <f t="shared" si="8"/>
        <v>50910878.519999996</v>
      </c>
      <c r="T17" s="71">
        <f t="shared" si="8"/>
        <v>156552199.45999998</v>
      </c>
      <c r="U17" s="71">
        <f t="shared" si="8"/>
        <v>223281092.19999999</v>
      </c>
      <c r="V17" s="71">
        <f t="shared" si="8"/>
        <v>-1109326.3000000026</v>
      </c>
      <c r="W17" s="71">
        <f t="shared" si="8"/>
        <v>19266194.499999996</v>
      </c>
      <c r="X17" s="71">
        <f t="shared" si="8"/>
        <v>27401388.530000001</v>
      </c>
      <c r="Y17" s="71">
        <f t="shared" si="8"/>
        <v>52452565.840000004</v>
      </c>
      <c r="Z17" s="71">
        <f t="shared" si="8"/>
        <v>8403851.3299999982</v>
      </c>
      <c r="AA17" s="71">
        <f t="shared" si="8"/>
        <v>2827491.6399999997</v>
      </c>
      <c r="AB17" s="71">
        <f t="shared" si="8"/>
        <v>3278643.0100000002</v>
      </c>
      <c r="AC17" s="71">
        <f t="shared" si="8"/>
        <v>4415716.18</v>
      </c>
      <c r="AD17" s="71">
        <f t="shared" si="8"/>
        <v>43878788.239999995</v>
      </c>
      <c r="AE17" s="71">
        <f t="shared" si="8"/>
        <v>25334932.93</v>
      </c>
      <c r="AF17" s="71">
        <f t="shared" si="8"/>
        <v>42484797.310000002</v>
      </c>
      <c r="AG17" s="71">
        <f t="shared" si="8"/>
        <v>34332050.869999997</v>
      </c>
      <c r="AH17" s="71">
        <f t="shared" si="8"/>
        <v>14516815.359999999</v>
      </c>
      <c r="AI17" s="71">
        <f t="shared" si="8"/>
        <v>35507178.469999999</v>
      </c>
      <c r="AJ17" s="71">
        <f t="shared" si="8"/>
        <v>68019905.659999996</v>
      </c>
      <c r="AK17" s="71">
        <f t="shared" si="8"/>
        <v>89778614.609999999</v>
      </c>
      <c r="AL17" s="71">
        <f t="shared" si="8"/>
        <v>244936329.52000001</v>
      </c>
      <c r="AM17" s="71">
        <f t="shared" si="8"/>
        <v>82044425.950000003</v>
      </c>
      <c r="AN17" s="71">
        <f t="shared" si="8"/>
        <v>-1527074.23</v>
      </c>
      <c r="AO17" s="71">
        <f t="shared" si="8"/>
        <v>2854276</v>
      </c>
      <c r="AP17" s="71">
        <f t="shared" si="8"/>
        <v>5751468.6200000001</v>
      </c>
      <c r="AQ17" s="71">
        <f t="shared" si="8"/>
        <v>7088900.4500000002</v>
      </c>
      <c r="AR17" s="71">
        <f t="shared" si="8"/>
        <v>-26804554.670000002</v>
      </c>
      <c r="AS17" s="71">
        <f t="shared" si="8"/>
        <v>39242774.579999998</v>
      </c>
      <c r="AT17" s="71">
        <f t="shared" si="8"/>
        <v>31113928.899999999</v>
      </c>
      <c r="AU17" s="71">
        <f t="shared" si="8"/>
        <v>36747938.040000007</v>
      </c>
      <c r="AV17" s="71">
        <f t="shared" si="8"/>
        <v>30845437.720000003</v>
      </c>
      <c r="AW17" s="71">
        <f t="shared" si="8"/>
        <v>14031120.559999999</v>
      </c>
      <c r="AX17" s="71">
        <f t="shared" si="8"/>
        <v>51463925.450000003</v>
      </c>
      <c r="AY17" s="71">
        <f t="shared" si="8"/>
        <v>11551586.719999999</v>
      </c>
      <c r="AZ17" s="71">
        <f t="shared" si="8"/>
        <v>724698.3899999999</v>
      </c>
      <c r="BA17" s="71">
        <f t="shared" si="8"/>
        <v>5054928.620000001</v>
      </c>
      <c r="BB17" s="71">
        <f t="shared" si="8"/>
        <v>26578025.669999998</v>
      </c>
      <c r="BC17" s="71">
        <f t="shared" si="8"/>
        <v>4041298.24</v>
      </c>
      <c r="BD17" s="71">
        <f t="shared" si="8"/>
        <v>17320006.869999997</v>
      </c>
      <c r="BE17" s="71">
        <f t="shared" si="8"/>
        <v>4002338.29</v>
      </c>
      <c r="BF17" s="71">
        <f t="shared" si="8"/>
        <v>10010907.52</v>
      </c>
      <c r="BG17" s="71">
        <f t="shared" si="8"/>
        <v>13452747.91</v>
      </c>
      <c r="BH17" s="71">
        <f t="shared" si="8"/>
        <v>11869328.98</v>
      </c>
      <c r="BI17" s="71">
        <f t="shared" si="8"/>
        <v>48293688.739999995</v>
      </c>
      <c r="BJ17" s="71">
        <f t="shared" si="8"/>
        <v>42321234.989999995</v>
      </c>
      <c r="BK17" s="71">
        <f t="shared" si="8"/>
        <v>1533971.94</v>
      </c>
      <c r="BL17" s="71">
        <f t="shared" si="8"/>
        <v>1609944.3199999998</v>
      </c>
      <c r="BM17" s="71">
        <f t="shared" si="8"/>
        <v>3132082.84</v>
      </c>
      <c r="BN17" s="71">
        <f t="shared" si="8"/>
        <v>18380590.279999997</v>
      </c>
      <c r="BO17" s="71">
        <f t="shared" si="8"/>
        <v>2850594.93</v>
      </c>
      <c r="BP17" s="71">
        <f t="shared" ref="BP17" si="9">SUM(BP11:BP16)</f>
        <v>14418901.121724138</v>
      </c>
      <c r="BQ17" s="71">
        <f t="shared" ref="BQ17:BU17" si="10">SUM(BQ11:BQ16)</f>
        <v>18090783.639999997</v>
      </c>
      <c r="BR17" s="71">
        <f t="shared" si="10"/>
        <v>9751023.0499999989</v>
      </c>
      <c r="BS17" s="71">
        <f t="shared" si="10"/>
        <v>26691318.630000003</v>
      </c>
      <c r="BT17" s="71">
        <f t="shared" si="10"/>
        <v>25776133.925172418</v>
      </c>
      <c r="BU17" s="71">
        <f t="shared" si="10"/>
        <v>63496488.682068974</v>
      </c>
      <c r="BV17" s="71">
        <f t="shared" ref="BV17" si="11">SUM(BV11:BV16)</f>
        <v>46825729.079999998</v>
      </c>
      <c r="BW17" s="71">
        <f t="shared" ref="BW17:BY17" si="12">SUM(BW11:BW16)</f>
        <v>1543405.3</v>
      </c>
      <c r="BX17" s="71">
        <f t="shared" si="12"/>
        <v>1840719.17</v>
      </c>
      <c r="BY17" s="71">
        <f t="shared" si="12"/>
        <v>11777230.689999999</v>
      </c>
      <c r="BZ17" s="71">
        <f t="shared" ref="BZ17:CA17" si="13">SUM(BZ11:BZ16)</f>
        <v>3807378.0799999996</v>
      </c>
      <c r="CA17" s="71">
        <f t="shared" si="13"/>
        <v>5505250.04</v>
      </c>
      <c r="CB17" s="71">
        <f t="shared" ref="CB17:CD17" si="14">SUM(CB11:CB16)</f>
        <v>17233342.880000003</v>
      </c>
      <c r="CC17" s="71">
        <f t="shared" si="14"/>
        <v>10123906.91</v>
      </c>
      <c r="CD17" s="71">
        <f t="shared" si="14"/>
        <v>30100041.349999998</v>
      </c>
      <c r="CE17" s="71">
        <f t="shared" ref="CE17:CH17" si="15">SUM(CE11:CE16)</f>
        <v>11654311.34</v>
      </c>
      <c r="CF17" s="71">
        <f t="shared" si="15"/>
        <v>16297666.890000001</v>
      </c>
      <c r="CG17" s="71">
        <f t="shared" si="15"/>
        <v>18614390.25</v>
      </c>
      <c r="CH17" s="71">
        <f t="shared" si="15"/>
        <v>101851313.57000001</v>
      </c>
      <c r="CI17" s="71">
        <f t="shared" ref="CI17" si="16">SUM(CI11:CI16)</f>
        <v>3367469.11</v>
      </c>
      <c r="CJ17" s="71">
        <f t="shared" ref="CJ17:CK17" si="17">SUM(CJ11:CJ16)</f>
        <v>2126966.83</v>
      </c>
      <c r="CK17" s="71">
        <f t="shared" si="17"/>
        <v>3200129.7100000004</v>
      </c>
      <c r="CL17" s="71">
        <f t="shared" ref="CL17:CT17" si="18">SUM(CL11:CL16)</f>
        <v>41418772.740000002</v>
      </c>
      <c r="CM17" s="71">
        <f t="shared" si="18"/>
        <v>4221922.6000000006</v>
      </c>
      <c r="CN17" s="71">
        <f t="shared" si="18"/>
        <v>2959937.93</v>
      </c>
      <c r="CO17" s="71">
        <f t="shared" si="18"/>
        <v>9741037.2100000009</v>
      </c>
      <c r="CP17" s="71">
        <f t="shared" si="18"/>
        <v>6908803</v>
      </c>
      <c r="CQ17" s="71">
        <f t="shared" si="18"/>
        <v>61951265.100000001</v>
      </c>
      <c r="CR17" s="71">
        <f t="shared" si="18"/>
        <v>37770056.420000002</v>
      </c>
      <c r="CS17" s="71">
        <f t="shared" si="18"/>
        <v>44700961.93</v>
      </c>
      <c r="CT17" s="71">
        <f t="shared" si="18"/>
        <v>5139234.7200000007</v>
      </c>
      <c r="CU17" s="71">
        <f t="shared" ref="CU17:CW17" si="19">SUM(CU11:CU16)</f>
        <v>2719715.5200000005</v>
      </c>
      <c r="CV17" s="71">
        <f t="shared" si="19"/>
        <v>1747484.65</v>
      </c>
      <c r="CW17" s="71">
        <f t="shared" si="19"/>
        <v>5864770.6000000006</v>
      </c>
      <c r="CX17" s="71">
        <f t="shared" ref="CX17:CY17" si="20">SUM(CX11:CX16)</f>
        <v>6933720.7699999996</v>
      </c>
      <c r="CY17" s="71">
        <f t="shared" si="20"/>
        <v>3399840.36</v>
      </c>
      <c r="CZ17" s="71">
        <f t="shared" ref="CZ17:DC17" si="21">SUM(CZ11:CZ16)</f>
        <v>6282546.8300000001</v>
      </c>
      <c r="DA17" s="71">
        <f t="shared" si="21"/>
        <v>3912231.45</v>
      </c>
      <c r="DB17" s="71">
        <f t="shared" si="21"/>
        <v>8480918.3300000001</v>
      </c>
      <c r="DC17" s="71">
        <f t="shared" si="21"/>
        <v>14223121.310000001</v>
      </c>
      <c r="DD17" s="71">
        <f t="shared" ref="DD17:DF17" si="22">SUM(DD11:DD16)</f>
        <v>7324346.4900000002</v>
      </c>
      <c r="DE17" s="71">
        <f t="shared" si="22"/>
        <v>26059277.870000001</v>
      </c>
      <c r="DF17" s="71">
        <f t="shared" si="22"/>
        <v>18218607.68</v>
      </c>
      <c r="DG17" s="71">
        <f t="shared" ref="DG17:DO17" si="23">SUM(DG11:DG16)</f>
        <v>719094.53</v>
      </c>
      <c r="DH17" s="71">
        <f t="shared" si="23"/>
        <v>3650056.59</v>
      </c>
      <c r="DI17" s="71">
        <f t="shared" si="23"/>
        <v>941666.9800000001</v>
      </c>
      <c r="DJ17" s="71">
        <f t="shared" si="23"/>
        <v>9432027.9299999997</v>
      </c>
      <c r="DK17" s="71">
        <f t="shared" si="23"/>
        <v>4391365.93</v>
      </c>
      <c r="DL17" s="71">
        <f t="shared" si="23"/>
        <v>854010.5199999999</v>
      </c>
      <c r="DM17" s="71">
        <f t="shared" si="23"/>
        <v>4327825.29</v>
      </c>
      <c r="DN17" s="71">
        <f t="shared" si="23"/>
        <v>10251226.699999999</v>
      </c>
      <c r="DO17" s="71">
        <f t="shared" si="23"/>
        <v>4026489.0400000005</v>
      </c>
      <c r="DP17" s="71">
        <f t="shared" ref="DP17:DX17" si="24">SUM(DP11:DP16)</f>
        <v>10209836.33</v>
      </c>
      <c r="DQ17" s="71">
        <f t="shared" si="24"/>
        <v>19663886.52</v>
      </c>
      <c r="DR17" s="71">
        <f t="shared" si="24"/>
        <v>29626610.380000003</v>
      </c>
      <c r="DS17" s="71">
        <f t="shared" si="24"/>
        <v>853541.14000000013</v>
      </c>
      <c r="DT17" s="71">
        <f t="shared" si="24"/>
        <v>4697229.5900000008</v>
      </c>
      <c r="DU17" s="71">
        <f t="shared" si="24"/>
        <v>2198302.3199999998</v>
      </c>
      <c r="DV17" s="71">
        <f t="shared" si="24"/>
        <v>8182241.71</v>
      </c>
      <c r="DW17" s="71">
        <f t="shared" si="24"/>
        <v>5027928.01</v>
      </c>
      <c r="DX17" s="71">
        <f t="shared" si="24"/>
        <v>6828527.0800000001</v>
      </c>
      <c r="DY17" s="71">
        <f t="shared" ref="DY17:ED17" si="25">SUM(DY11:DY16)</f>
        <v>8252714.8500000006</v>
      </c>
      <c r="DZ17" s="71">
        <f t="shared" si="25"/>
        <v>4346744.26</v>
      </c>
      <c r="EA17" s="71">
        <f t="shared" si="25"/>
        <v>16074949.349999998</v>
      </c>
      <c r="EB17" s="71">
        <f t="shared" si="25"/>
        <v>3489318.95</v>
      </c>
      <c r="EC17" s="71">
        <f t="shared" si="25"/>
        <v>13712130.68</v>
      </c>
      <c r="ED17" s="71">
        <f t="shared" si="25"/>
        <v>38443373.800000004</v>
      </c>
      <c r="EE17" s="71">
        <f t="shared" ref="EE17:EG17" si="26">SUM(EE11:EE16)</f>
        <v>2984078.24</v>
      </c>
      <c r="EF17" s="71">
        <f>SUM(EF11:EF16)</f>
        <v>5037161.28</v>
      </c>
      <c r="EG17" s="71">
        <f t="shared" si="26"/>
        <v>4479735.9600000009</v>
      </c>
      <c r="EH17" s="71">
        <f t="shared" ref="EH17:EI17" si="27">SUM(EH11:EH16)</f>
        <v>3288560.38</v>
      </c>
      <c r="EI17" s="71">
        <f t="shared" si="27"/>
        <v>3682191.5700000003</v>
      </c>
      <c r="EJ17" s="71">
        <f t="shared" ref="EJ17:EM17" si="28">SUM(EJ11:EJ16)</f>
        <v>8042974.0600000005</v>
      </c>
      <c r="EK17" s="71">
        <f t="shared" si="28"/>
        <v>8785516.459999999</v>
      </c>
      <c r="EL17" s="71">
        <f t="shared" si="28"/>
        <v>14263496.919999998</v>
      </c>
      <c r="EM17" s="71">
        <f t="shared" si="28"/>
        <v>8801611.6499999985</v>
      </c>
      <c r="EN17" s="71">
        <f t="shared" ref="EN17:ES17" si="29">SUM(EN11:EN16)</f>
        <v>4056501.2300000004</v>
      </c>
      <c r="EO17" s="71">
        <f t="shared" si="29"/>
        <v>29927564.379999999</v>
      </c>
      <c r="EP17" s="71">
        <f t="shared" si="29"/>
        <v>24082568.16</v>
      </c>
      <c r="EQ17" s="71">
        <f t="shared" si="29"/>
        <v>2018075.85</v>
      </c>
      <c r="ER17" s="71">
        <f t="shared" si="29"/>
        <v>15813508.52</v>
      </c>
      <c r="ES17" s="71">
        <f t="shared" si="29"/>
        <v>3815543.16</v>
      </c>
      <c r="ET17" s="79">
        <f t="shared" ref="ET17" si="30">SUM(ET11:ET16)</f>
        <v>9520112.7100000009</v>
      </c>
      <c r="EU17" s="79">
        <f>SUM(EU11:EU16)</f>
        <v>8452622.8500000015</v>
      </c>
      <c r="EV17" s="79">
        <f t="shared" ref="EV17:FB17" si="31">SUM(EV11:EV16)</f>
        <v>5500584.2800000003</v>
      </c>
      <c r="EW17" s="79">
        <f t="shared" si="31"/>
        <v>8665251.1399999987</v>
      </c>
      <c r="EX17" s="79">
        <f t="shared" si="31"/>
        <v>13061490.029999997</v>
      </c>
      <c r="EY17" s="79">
        <f t="shared" si="31"/>
        <v>6191787.1000000006</v>
      </c>
      <c r="EZ17" s="79">
        <f t="shared" si="31"/>
        <v>15161244.609999999</v>
      </c>
      <c r="FA17" s="79">
        <f t="shared" si="31"/>
        <v>13077822.229999999</v>
      </c>
      <c r="FB17" s="79">
        <f t="shared" si="31"/>
        <v>43394783.649999999</v>
      </c>
      <c r="FC17" s="79">
        <f t="shared" ref="FC17:FE17" si="32">SUM(FC11:FC16)</f>
        <v>2646386.4899999998</v>
      </c>
      <c r="FD17" s="79">
        <f>SUM(FD11:FD16)</f>
        <v>10453761.960000001</v>
      </c>
      <c r="FE17" s="79">
        <f t="shared" si="32"/>
        <v>1990201.47</v>
      </c>
      <c r="FF17" s="79">
        <f t="shared" ref="FF17:FI17" si="33">SUM(FF11:FF16)</f>
        <v>8922758.5199999996</v>
      </c>
      <c r="FG17" s="79">
        <f>SUM(FG11:FG16)</f>
        <v>8256037.7999999998</v>
      </c>
      <c r="FH17" s="79">
        <f t="shared" ref="FH17:FK17" si="34">SUM(FH11:FH16)</f>
        <v>17654850.030000001</v>
      </c>
      <c r="FI17" s="79">
        <f t="shared" si="34"/>
        <v>22692280.84</v>
      </c>
      <c r="FJ17" s="79">
        <f t="shared" si="34"/>
        <v>16147957.66</v>
      </c>
      <c r="FK17" s="79">
        <f t="shared" si="34"/>
        <v>54346391.939999998</v>
      </c>
    </row>
    <row r="18" spans="1:167" s="11" customFormat="1" ht="15.75" thickTop="1">
      <c r="C18" s="16">
        <f>1920561.54-95981.43</f>
        <v>1824580.11</v>
      </c>
      <c r="D18" s="16">
        <f>3132688.02-204638.22-218948.3</f>
        <v>2709101.5</v>
      </c>
      <c r="E18" s="16">
        <f>4600642.68-729677.62-162015.81+174893.5</f>
        <v>3883842.7499999995</v>
      </c>
      <c r="F18" s="16">
        <f>4667290.37-82951.67-273088.13+4471.82</f>
        <v>4315722.3900000006</v>
      </c>
      <c r="G18" s="16">
        <f>7245099.29-223047.07-126950.29+22055.19</f>
        <v>6917157.1200000001</v>
      </c>
      <c r="H18" s="16">
        <f>8845355.13-308179.46-192961.91+83040</f>
        <v>8427253.7599999998</v>
      </c>
      <c r="I18" s="16">
        <f>3395627-1048884.32-84493.25</f>
        <v>2262249.4299999997</v>
      </c>
      <c r="J18" s="16">
        <f>9644627.92-29312-462858.02</f>
        <v>9152457.9000000004</v>
      </c>
      <c r="K18" s="16">
        <v>15003476.970000001</v>
      </c>
      <c r="L18" s="17">
        <v>9075011.0600000005</v>
      </c>
      <c r="M18" s="17">
        <v>38349379.960000001</v>
      </c>
      <c r="N18" s="17">
        <v>47918403.710000001</v>
      </c>
      <c r="O18" s="17">
        <v>3347202.87</v>
      </c>
      <c r="P18" s="17">
        <v>7219690.1600000001</v>
      </c>
      <c r="Q18" s="17">
        <v>47128364.829999998</v>
      </c>
      <c r="R18" s="18">
        <f>45618381.63-275458.64-580366.47+28710</f>
        <v>44791266.520000003</v>
      </c>
      <c r="S18" s="18">
        <f>67273732.1-16330597.69-32255.89</f>
        <v>50910878.519999996</v>
      </c>
      <c r="T18" s="18">
        <f>166772152.81-10066577.54-213061.59+59685.78</f>
        <v>156552199.46000001</v>
      </c>
      <c r="U18" s="18">
        <v>223281092.19999999</v>
      </c>
      <c r="V18" s="18">
        <v>-1109326.3000000033</v>
      </c>
      <c r="W18" s="18">
        <v>19266194.500000007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>
        <v>82044425.950000003</v>
      </c>
      <c r="AN18" s="18">
        <v>-1527074.23</v>
      </c>
      <c r="AO18" s="18">
        <v>2854276</v>
      </c>
      <c r="AP18" s="18">
        <v>5751468.6200000001</v>
      </c>
      <c r="AQ18" s="18">
        <v>7088900.4500000002</v>
      </c>
      <c r="AR18" s="18">
        <v>-26804554.670000002</v>
      </c>
      <c r="AS18" s="18">
        <v>39242774.579999998</v>
      </c>
      <c r="AT18" s="18">
        <v>31113928.899999999</v>
      </c>
      <c r="AU18" s="18">
        <v>36747938.039999999</v>
      </c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67"/>
      <c r="ER18" s="67"/>
      <c r="ES18" s="67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</row>
    <row r="19" spans="1:167" s="11" customFormat="1" ht="15.75" thickBot="1">
      <c r="C19" s="16"/>
      <c r="D19" s="16">
        <f t="shared" ref="D19:L19" si="35">+D17-D18</f>
        <v>0</v>
      </c>
      <c r="E19" s="16">
        <f t="shared" si="35"/>
        <v>0</v>
      </c>
      <c r="F19" s="16">
        <f t="shared" si="35"/>
        <v>0</v>
      </c>
      <c r="G19" s="16">
        <f t="shared" si="35"/>
        <v>0</v>
      </c>
      <c r="H19" s="16">
        <f t="shared" si="35"/>
        <v>0</v>
      </c>
      <c r="I19" s="16">
        <f t="shared" si="35"/>
        <v>0</v>
      </c>
      <c r="J19" s="16">
        <f t="shared" si="35"/>
        <v>0</v>
      </c>
      <c r="K19" s="16">
        <f t="shared" si="35"/>
        <v>0</v>
      </c>
      <c r="L19" s="16">
        <f t="shared" si="35"/>
        <v>0</v>
      </c>
      <c r="M19" s="16">
        <f>+M17-M18</f>
        <v>0</v>
      </c>
      <c r="N19" s="16">
        <f>+N17-N18</f>
        <v>0</v>
      </c>
      <c r="O19" s="16">
        <f t="shared" ref="O19:Q19" si="36">+O17-O18</f>
        <v>0</v>
      </c>
      <c r="P19" s="16">
        <f t="shared" si="36"/>
        <v>0</v>
      </c>
      <c r="Q19" s="16">
        <f t="shared" si="36"/>
        <v>0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67"/>
      <c r="ER19" s="67"/>
      <c r="ES19" s="67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</row>
    <row r="20" spans="1:167" s="11" customFormat="1" ht="24.95" customHeight="1" thickBot="1">
      <c r="C20" s="12" t="s">
        <v>5</v>
      </c>
      <c r="D20" s="12" t="s">
        <v>6</v>
      </c>
      <c r="E20" s="12" t="s">
        <v>7</v>
      </c>
      <c r="F20" s="12" t="s">
        <v>8</v>
      </c>
      <c r="G20" s="12" t="s">
        <v>9</v>
      </c>
      <c r="H20" s="12" t="s">
        <v>10</v>
      </c>
      <c r="I20" s="12" t="s">
        <v>11</v>
      </c>
      <c r="J20" s="12" t="s">
        <v>12</v>
      </c>
      <c r="K20" s="12" t="s">
        <v>13</v>
      </c>
      <c r="L20" s="12" t="s">
        <v>14</v>
      </c>
      <c r="M20" s="12" t="s">
        <v>15</v>
      </c>
      <c r="N20" s="12" t="s">
        <v>16</v>
      </c>
      <c r="O20" s="12" t="s">
        <v>5</v>
      </c>
      <c r="P20" s="12" t="s">
        <v>6</v>
      </c>
      <c r="Q20" s="12" t="s">
        <v>7</v>
      </c>
      <c r="R20" s="12" t="s">
        <v>8</v>
      </c>
      <c r="S20" s="12" t="s">
        <v>9</v>
      </c>
      <c r="T20" s="12" t="s">
        <v>10</v>
      </c>
      <c r="U20" s="12" t="s">
        <v>11</v>
      </c>
      <c r="V20" s="12" t="s">
        <v>12</v>
      </c>
      <c r="W20" s="12" t="s">
        <v>13</v>
      </c>
      <c r="X20" s="12" t="s">
        <v>14</v>
      </c>
      <c r="Y20" s="12" t="s">
        <v>15</v>
      </c>
      <c r="Z20" s="12" t="s">
        <v>16</v>
      </c>
      <c r="AA20" s="12" t="s">
        <v>5</v>
      </c>
      <c r="AB20" s="12" t="s">
        <v>6</v>
      </c>
      <c r="AC20" s="12" t="s">
        <v>7</v>
      </c>
      <c r="AD20" s="12" t="s">
        <v>8</v>
      </c>
      <c r="AE20" s="12" t="s">
        <v>9</v>
      </c>
      <c r="AF20" s="12" t="s">
        <v>10</v>
      </c>
      <c r="AG20" s="12" t="s">
        <v>11</v>
      </c>
      <c r="AH20" s="12" t="s">
        <v>12</v>
      </c>
      <c r="AI20" s="12" t="s">
        <v>13</v>
      </c>
      <c r="AJ20" s="12" t="s">
        <v>14</v>
      </c>
      <c r="AK20" s="12" t="s">
        <v>15</v>
      </c>
      <c r="AL20" s="12" t="s">
        <v>16</v>
      </c>
      <c r="AM20" s="12" t="s">
        <v>5</v>
      </c>
      <c r="AN20" s="12" t="s">
        <v>6</v>
      </c>
      <c r="AO20" s="12" t="s">
        <v>7</v>
      </c>
      <c r="AP20" s="12" t="s">
        <v>8</v>
      </c>
      <c r="AQ20" s="12" t="s">
        <v>9</v>
      </c>
      <c r="AR20" s="12" t="s">
        <v>10</v>
      </c>
      <c r="AS20" s="12" t="s">
        <v>11</v>
      </c>
      <c r="AT20" s="12" t="s">
        <v>12</v>
      </c>
      <c r="AU20" s="12" t="s">
        <v>13</v>
      </c>
      <c r="AV20" s="12" t="s">
        <v>14</v>
      </c>
      <c r="AW20" s="12" t="s">
        <v>15</v>
      </c>
      <c r="AX20" s="12" t="s">
        <v>16</v>
      </c>
      <c r="AY20" s="12" t="s">
        <v>5</v>
      </c>
      <c r="AZ20" s="12" t="s">
        <v>6</v>
      </c>
      <c r="BA20" s="12" t="s">
        <v>7</v>
      </c>
      <c r="BB20" s="12" t="s">
        <v>8</v>
      </c>
      <c r="BC20" s="12" t="s">
        <v>9</v>
      </c>
      <c r="BD20" s="12" t="s">
        <v>10</v>
      </c>
      <c r="BE20" s="12" t="s">
        <v>11</v>
      </c>
      <c r="BF20" s="12" t="s">
        <v>12</v>
      </c>
      <c r="BG20" s="12" t="s">
        <v>13</v>
      </c>
      <c r="BH20" s="12" t="s">
        <v>14</v>
      </c>
      <c r="BI20" s="12" t="s">
        <v>15</v>
      </c>
      <c r="BJ20" s="12" t="s">
        <v>16</v>
      </c>
      <c r="BK20" s="12" t="s">
        <v>5</v>
      </c>
      <c r="BL20" s="12" t="s">
        <v>6</v>
      </c>
      <c r="BM20" s="12" t="s">
        <v>7</v>
      </c>
      <c r="BN20" s="12" t="s">
        <v>8</v>
      </c>
      <c r="BO20" s="12" t="s">
        <v>9</v>
      </c>
      <c r="BP20" s="12" t="s">
        <v>10</v>
      </c>
      <c r="BQ20" s="12" t="s">
        <v>11</v>
      </c>
      <c r="BR20" s="12" t="s">
        <v>12</v>
      </c>
      <c r="BS20" s="12" t="s">
        <v>13</v>
      </c>
      <c r="BT20" s="12" t="s">
        <v>14</v>
      </c>
      <c r="BU20" s="12" t="s">
        <v>15</v>
      </c>
      <c r="BV20" s="12" t="s">
        <v>16</v>
      </c>
      <c r="BW20" s="12" t="s">
        <v>5</v>
      </c>
      <c r="BX20" s="12" t="s">
        <v>6</v>
      </c>
      <c r="BY20" s="12" t="s">
        <v>7</v>
      </c>
      <c r="BZ20" s="12" t="s">
        <v>8</v>
      </c>
      <c r="CA20" s="12" t="s">
        <v>9</v>
      </c>
      <c r="CB20" s="12" t="s">
        <v>10</v>
      </c>
      <c r="CC20" s="12" t="s">
        <v>11</v>
      </c>
      <c r="CD20" s="12" t="s">
        <v>12</v>
      </c>
      <c r="CE20" s="12" t="s">
        <v>13</v>
      </c>
      <c r="CF20" s="12" t="s">
        <v>14</v>
      </c>
      <c r="CG20" s="12" t="s">
        <v>15</v>
      </c>
      <c r="CH20" s="12" t="s">
        <v>16</v>
      </c>
      <c r="CI20" s="12" t="s">
        <v>5</v>
      </c>
      <c r="CJ20" s="12" t="s">
        <v>6</v>
      </c>
      <c r="CK20" s="12" t="s">
        <v>7</v>
      </c>
      <c r="CL20" s="12" t="s">
        <v>8</v>
      </c>
      <c r="CM20" s="12" t="s">
        <v>9</v>
      </c>
      <c r="CN20" s="12" t="s">
        <v>10</v>
      </c>
      <c r="CO20" s="12" t="s">
        <v>11</v>
      </c>
      <c r="CP20" s="12" t="s">
        <v>12</v>
      </c>
      <c r="CQ20" s="12" t="s">
        <v>13</v>
      </c>
      <c r="CR20" s="12" t="s">
        <v>14</v>
      </c>
      <c r="CS20" s="12" t="s">
        <v>15</v>
      </c>
      <c r="CT20" s="12" t="s">
        <v>16</v>
      </c>
      <c r="CU20" s="12" t="s">
        <v>5</v>
      </c>
      <c r="CV20" s="12" t="s">
        <v>6</v>
      </c>
      <c r="CW20" s="12" t="s">
        <v>7</v>
      </c>
      <c r="CX20" s="12" t="s">
        <v>8</v>
      </c>
      <c r="CY20" s="12" t="s">
        <v>9</v>
      </c>
      <c r="CZ20" s="12" t="s">
        <v>10</v>
      </c>
      <c r="DA20" s="12" t="s">
        <v>11</v>
      </c>
      <c r="DB20" s="12" t="s">
        <v>12</v>
      </c>
      <c r="DC20" s="12" t="s">
        <v>13</v>
      </c>
      <c r="DD20" s="12" t="s">
        <v>14</v>
      </c>
      <c r="DE20" s="12" t="s">
        <v>15</v>
      </c>
      <c r="DF20" s="12" t="s">
        <v>16</v>
      </c>
      <c r="DG20" s="12" t="s">
        <v>5</v>
      </c>
      <c r="DH20" s="12" t="s">
        <v>6</v>
      </c>
      <c r="DI20" s="12" t="s">
        <v>7</v>
      </c>
      <c r="DJ20" s="12" t="s">
        <v>8</v>
      </c>
      <c r="DK20" s="12" t="s">
        <v>9</v>
      </c>
      <c r="DL20" s="12" t="s">
        <v>10</v>
      </c>
      <c r="DM20" s="12" t="s">
        <v>11</v>
      </c>
      <c r="DN20" s="12" t="s">
        <v>12</v>
      </c>
      <c r="DO20" s="12" t="s">
        <v>13</v>
      </c>
      <c r="DP20" s="12" t="s">
        <v>14</v>
      </c>
      <c r="DQ20" s="12" t="s">
        <v>15</v>
      </c>
      <c r="DR20" s="12" t="s">
        <v>16</v>
      </c>
      <c r="DS20" s="12" t="s">
        <v>5</v>
      </c>
      <c r="DT20" s="12" t="s">
        <v>6</v>
      </c>
      <c r="DU20" s="12" t="s">
        <v>7</v>
      </c>
      <c r="DV20" s="12" t="s">
        <v>8</v>
      </c>
      <c r="DW20" s="12" t="s">
        <v>9</v>
      </c>
      <c r="DX20" s="12" t="s">
        <v>10</v>
      </c>
      <c r="DY20" s="12" t="s">
        <v>11</v>
      </c>
      <c r="DZ20" s="12" t="s">
        <v>12</v>
      </c>
      <c r="EA20" s="12" t="s">
        <v>13</v>
      </c>
      <c r="EB20" s="12" t="s">
        <v>14</v>
      </c>
      <c r="EC20" s="12" t="s">
        <v>15</v>
      </c>
      <c r="ED20" s="12" t="s">
        <v>16</v>
      </c>
      <c r="EE20" s="12" t="s">
        <v>5</v>
      </c>
      <c r="EF20" s="12" t="s">
        <v>6</v>
      </c>
      <c r="EG20" s="12" t="s">
        <v>7</v>
      </c>
      <c r="EH20" s="12" t="s">
        <v>8</v>
      </c>
      <c r="EI20" s="12" t="s">
        <v>9</v>
      </c>
      <c r="EJ20" s="12" t="s">
        <v>10</v>
      </c>
      <c r="EK20" s="12" t="s">
        <v>11</v>
      </c>
      <c r="EL20" s="12" t="s">
        <v>12</v>
      </c>
      <c r="EM20" s="12" t="s">
        <v>13</v>
      </c>
      <c r="EN20" s="12" t="s">
        <v>14</v>
      </c>
      <c r="EO20" s="12" t="s">
        <v>15</v>
      </c>
      <c r="EP20" s="12" t="s">
        <v>16</v>
      </c>
      <c r="EQ20" s="65" t="s">
        <v>5</v>
      </c>
      <c r="ER20" s="65" t="s">
        <v>6</v>
      </c>
      <c r="ES20" s="65" t="s">
        <v>7</v>
      </c>
      <c r="ET20" s="76" t="s">
        <v>8</v>
      </c>
      <c r="EU20" s="76" t="s">
        <v>9</v>
      </c>
      <c r="EV20" s="76" t="s">
        <v>10</v>
      </c>
      <c r="EW20" s="76" t="s">
        <v>11</v>
      </c>
      <c r="EX20" s="76" t="s">
        <v>12</v>
      </c>
      <c r="EY20" s="76" t="s">
        <v>13</v>
      </c>
      <c r="EZ20" s="76" t="s">
        <v>14</v>
      </c>
      <c r="FA20" s="76" t="s">
        <v>15</v>
      </c>
      <c r="FB20" s="76" t="s">
        <v>16</v>
      </c>
      <c r="FC20" s="76" t="s">
        <v>5</v>
      </c>
      <c r="FD20" s="76" t="s">
        <v>6</v>
      </c>
      <c r="FE20" s="76" t="s">
        <v>7</v>
      </c>
      <c r="FF20" s="76" t="s">
        <v>8</v>
      </c>
      <c r="FG20" s="76" t="s">
        <v>9</v>
      </c>
      <c r="FH20" s="76" t="s">
        <v>10</v>
      </c>
      <c r="FI20" s="76" t="s">
        <v>11</v>
      </c>
      <c r="FJ20" s="76" t="s">
        <v>12</v>
      </c>
      <c r="FK20" s="76" t="s">
        <v>13</v>
      </c>
    </row>
    <row r="21" spans="1:167" s="19" customFormat="1" ht="24.95" customHeight="1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66"/>
      <c r="ER21" s="66"/>
      <c r="ES21" s="66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</row>
    <row r="22" spans="1:167" s="26" customFormat="1" ht="24.95" customHeight="1">
      <c r="A22" s="24" t="s">
        <v>0</v>
      </c>
      <c r="B22" s="25" t="e">
        <f t="shared" ref="B22:BM22" si="37">+B11/B$17</f>
        <v>#DIV/0!</v>
      </c>
      <c r="C22" s="25">
        <f t="shared" si="37"/>
        <v>0.17846987272046938</v>
      </c>
      <c r="D22" s="25">
        <f t="shared" si="37"/>
        <v>7.9278568927742293E-2</v>
      </c>
      <c r="E22" s="25">
        <f t="shared" si="37"/>
        <v>0.16443118867261042</v>
      </c>
      <c r="F22" s="25">
        <f t="shared" si="37"/>
        <v>0.34986107389544119</v>
      </c>
      <c r="G22" s="25">
        <f t="shared" si="37"/>
        <v>8.7102062241431341E-2</v>
      </c>
      <c r="H22" s="25">
        <f t="shared" si="37"/>
        <v>6.0944896715676933E-2</v>
      </c>
      <c r="I22" s="25">
        <f t="shared" si="37"/>
        <v>7.3597635960062996E-2</v>
      </c>
      <c r="J22" s="25">
        <f t="shared" si="37"/>
        <v>6.5538861424317515E-2</v>
      </c>
      <c r="K22" s="25">
        <f t="shared" si="37"/>
        <v>-1.2531335261549042E-3</v>
      </c>
      <c r="L22" s="25">
        <f t="shared" si="37"/>
        <v>1.6778263849300482E-2</v>
      </c>
      <c r="M22" s="25">
        <f t="shared" si="37"/>
        <v>2.4308216220766246E-2</v>
      </c>
      <c r="N22" s="25">
        <f t="shared" si="37"/>
        <v>1.9154504927893813E-2</v>
      </c>
      <c r="O22" s="25">
        <f t="shared" si="37"/>
        <v>0.16754683590481026</v>
      </c>
      <c r="P22" s="25">
        <f t="shared" si="37"/>
        <v>0.23554359152720206</v>
      </c>
      <c r="Q22" s="25">
        <f t="shared" si="37"/>
        <v>8.1711044800533122E-2</v>
      </c>
      <c r="R22" s="25">
        <f t="shared" si="37"/>
        <v>4.3068477626963968E-2</v>
      </c>
      <c r="S22" s="25">
        <f t="shared" si="37"/>
        <v>1.5532258389321544E-2</v>
      </c>
      <c r="T22" s="25">
        <f t="shared" si="37"/>
        <v>3.5516041034100207E-2</v>
      </c>
      <c r="U22" s="25">
        <f t="shared" si="37"/>
        <v>2.4123116054875693E-3</v>
      </c>
      <c r="V22" s="25">
        <f t="shared" si="37"/>
        <v>-0.20923070155282489</v>
      </c>
      <c r="W22" s="25">
        <f t="shared" si="37"/>
        <v>2.3571857950463432E-4</v>
      </c>
      <c r="X22" s="25">
        <f t="shared" si="37"/>
        <v>2.6887435255092164E-2</v>
      </c>
      <c r="Y22" s="25">
        <f t="shared" si="37"/>
        <v>5.3192419766666658E-2</v>
      </c>
      <c r="Z22" s="25">
        <f t="shared" si="37"/>
        <v>0.20571449709356057</v>
      </c>
      <c r="AA22" s="25">
        <f t="shared" si="37"/>
        <v>-7.1155969889976425E-2</v>
      </c>
      <c r="AB22" s="25">
        <f t="shared" si="37"/>
        <v>1.225592413612606E-2</v>
      </c>
      <c r="AC22" s="25">
        <f t="shared" si="37"/>
        <v>0.1466264799654764</v>
      </c>
      <c r="AD22" s="25">
        <f t="shared" si="37"/>
        <v>2.8097255404061272E-2</v>
      </c>
      <c r="AE22" s="25">
        <f t="shared" si="37"/>
        <v>6.662057778733578E-2</v>
      </c>
      <c r="AF22" s="25">
        <f t="shared" si="37"/>
        <v>5.5815204029273965E-2</v>
      </c>
      <c r="AG22" s="25">
        <f t="shared" si="37"/>
        <v>3.9560857728625408E-2</v>
      </c>
      <c r="AH22" s="25">
        <f t="shared" si="37"/>
        <v>4.5500088250760809E-2</v>
      </c>
      <c r="AI22" s="25">
        <f t="shared" si="37"/>
        <v>2.7481579557903976E-2</v>
      </c>
      <c r="AJ22" s="25">
        <f t="shared" si="37"/>
        <v>-9.499071980924003E-3</v>
      </c>
      <c r="AK22" s="25">
        <f t="shared" si="37"/>
        <v>1.6010689140661935E-2</v>
      </c>
      <c r="AL22" s="25">
        <f t="shared" si="37"/>
        <v>6.3747871663623673E-3</v>
      </c>
      <c r="AM22" s="25">
        <f t="shared" si="37"/>
        <v>7.5406463368642775E-5</v>
      </c>
      <c r="AN22" s="25">
        <f t="shared" si="37"/>
        <v>-3.5647644974010203E-3</v>
      </c>
      <c r="AO22" s="25">
        <f t="shared" si="37"/>
        <v>8.7974414527536932E-2</v>
      </c>
      <c r="AP22" s="25">
        <f t="shared" si="37"/>
        <v>1.2751908224790073E-3</v>
      </c>
      <c r="AQ22" s="25">
        <f t="shared" si="37"/>
        <v>9.3772229514099041E-4</v>
      </c>
      <c r="AR22" s="25">
        <f t="shared" si="37"/>
        <v>-2.3048359042183631E-4</v>
      </c>
      <c r="AS22" s="25">
        <f t="shared" si="37"/>
        <v>3.9423359244034365E-4</v>
      </c>
      <c r="AT22" s="25">
        <f t="shared" si="37"/>
        <v>9.235503523953865E-4</v>
      </c>
      <c r="AU22" s="25">
        <f t="shared" si="37"/>
        <v>1.6404866018436337E-4</v>
      </c>
      <c r="AV22" s="25">
        <f t="shared" si="37"/>
        <v>3.0611285486403521E-3</v>
      </c>
      <c r="AW22" s="25">
        <f t="shared" si="37"/>
        <v>1.8314595680446494E-3</v>
      </c>
      <c r="AX22" s="25">
        <f t="shared" si="37"/>
        <v>4.6936955913843913E-4</v>
      </c>
      <c r="AY22" s="25">
        <f t="shared" si="37"/>
        <v>3.0459538462435575E-4</v>
      </c>
      <c r="AZ22" s="25">
        <f t="shared" si="37"/>
        <v>0.53837866260472855</v>
      </c>
      <c r="BA22" s="25">
        <f t="shared" si="37"/>
        <v>1.0179138790687808E-2</v>
      </c>
      <c r="BB22" s="25">
        <f t="shared" si="37"/>
        <v>1.1173414597729224E-3</v>
      </c>
      <c r="BC22" s="25">
        <f t="shared" si="37"/>
        <v>7.9965145061899716E-4</v>
      </c>
      <c r="BD22" s="25">
        <f t="shared" si="37"/>
        <v>2.1045199504588882E-4</v>
      </c>
      <c r="BE22" s="25">
        <f t="shared" si="37"/>
        <v>0</v>
      </c>
      <c r="BF22" s="25">
        <f t="shared" si="37"/>
        <v>1.6011035930536696E-4</v>
      </c>
      <c r="BG22" s="25">
        <f t="shared" si="37"/>
        <v>7.2813525277751223E-4</v>
      </c>
      <c r="BH22" s="25">
        <f t="shared" si="37"/>
        <v>3.6255191908919522E-2</v>
      </c>
      <c r="BI22" s="25">
        <f t="shared" si="37"/>
        <v>6.6007989515194784E-3</v>
      </c>
      <c r="BJ22" s="25">
        <f t="shared" si="37"/>
        <v>5.4856622226373261E-5</v>
      </c>
      <c r="BK22" s="25">
        <f t="shared" si="37"/>
        <v>8.8658727355860241E-4</v>
      </c>
      <c r="BL22" s="25">
        <f t="shared" si="37"/>
        <v>2.0362319114241179E-3</v>
      </c>
      <c r="BM22" s="25">
        <f t="shared" si="37"/>
        <v>1.1251043411099565E-3</v>
      </c>
      <c r="BN22" s="25">
        <f t="shared" ref="BN22:DI22" si="38">+BN11/BN$17</f>
        <v>9.0965005722329836E-3</v>
      </c>
      <c r="BO22" s="25">
        <f t="shared" si="38"/>
        <v>4.459279663420997E-3</v>
      </c>
      <c r="BP22" s="25">
        <f t="shared" si="38"/>
        <v>1.3668644256326893E-2</v>
      </c>
      <c r="BQ22" s="25">
        <f t="shared" si="38"/>
        <v>0</v>
      </c>
      <c r="BR22" s="25">
        <f t="shared" si="38"/>
        <v>4.6523087646685446E-3</v>
      </c>
      <c r="BS22" s="25">
        <f t="shared" si="38"/>
        <v>3.2756695617776601E-3</v>
      </c>
      <c r="BT22" s="25">
        <f t="shared" si="38"/>
        <v>8.7449192595895533E-3</v>
      </c>
      <c r="BU22" s="25">
        <f t="shared" si="38"/>
        <v>4.9896593272482755E-2</v>
      </c>
      <c r="BV22" s="25">
        <f t="shared" si="38"/>
        <v>8.8759344096901358E-4</v>
      </c>
      <c r="BW22" s="25">
        <f t="shared" si="38"/>
        <v>2.0982174934866427E-2</v>
      </c>
      <c r="BX22" s="25">
        <f t="shared" si="38"/>
        <v>1.5211445861130462E-3</v>
      </c>
      <c r="BY22" s="25">
        <f t="shared" si="38"/>
        <v>4.7576074099980126E-3</v>
      </c>
      <c r="BZ22" s="25">
        <f t="shared" si="38"/>
        <v>1.6179112950085589E-3</v>
      </c>
      <c r="CA22" s="25">
        <f t="shared" si="38"/>
        <v>9.3607919032865554E-4</v>
      </c>
      <c r="CB22" s="25">
        <f t="shared" si="38"/>
        <v>3.4395822338561854E-4</v>
      </c>
      <c r="CC22" s="25">
        <f t="shared" si="38"/>
        <v>4.0172016951112006E-2</v>
      </c>
      <c r="CD22" s="25">
        <f t="shared" si="38"/>
        <v>1.2628255077131315E-4</v>
      </c>
      <c r="CE22" s="25">
        <f t="shared" si="38"/>
        <v>1.4236594094627986E-3</v>
      </c>
      <c r="CF22" s="25">
        <f t="shared" si="38"/>
        <v>8.8241955717135165E-4</v>
      </c>
      <c r="CG22" s="25">
        <f t="shared" si="38"/>
        <v>1.4407530754331314E-3</v>
      </c>
      <c r="CH22" s="25">
        <f t="shared" si="38"/>
        <v>0</v>
      </c>
      <c r="CI22" s="25">
        <f t="shared" si="38"/>
        <v>6.817609679573274E-3</v>
      </c>
      <c r="CJ22" s="25">
        <f t="shared" si="38"/>
        <v>6.628965624254704E-3</v>
      </c>
      <c r="CK22" s="25">
        <f t="shared" si="38"/>
        <v>7.3472584334714347E-3</v>
      </c>
      <c r="CL22" s="25">
        <f t="shared" si="38"/>
        <v>3.544214139841749E-4</v>
      </c>
      <c r="CM22" s="25">
        <f t="shared" si="38"/>
        <v>3.252991895209069E-3</v>
      </c>
      <c r="CN22" s="25">
        <f t="shared" si="38"/>
        <v>5.8615012916841801E-3</v>
      </c>
      <c r="CO22" s="25">
        <f t="shared" si="38"/>
        <v>4.4454095664007835E-4</v>
      </c>
      <c r="CP22" s="25">
        <f t="shared" si="38"/>
        <v>1.1266597122540618E-3</v>
      </c>
      <c r="CQ22" s="25">
        <f t="shared" si="38"/>
        <v>1.1014372327967197E-3</v>
      </c>
      <c r="CR22" s="25">
        <f t="shared" si="38"/>
        <v>1.6917065012951866E-3</v>
      </c>
      <c r="CS22" s="25">
        <f t="shared" si="38"/>
        <v>-6.3949241282020884E-3</v>
      </c>
      <c r="CT22" s="25">
        <f t="shared" si="38"/>
        <v>6.9321336621106872E-2</v>
      </c>
      <c r="CU22" s="25">
        <f t="shared" si="38"/>
        <v>6.7124557203688704E-3</v>
      </c>
      <c r="CV22" s="25">
        <f t="shared" si="38"/>
        <v>1.5877678811084266E-3</v>
      </c>
      <c r="CW22" s="25">
        <f t="shared" si="38"/>
        <v>1.4088922761957645E-3</v>
      </c>
      <c r="CX22" s="25">
        <f t="shared" si="38"/>
        <v>1.9636599816522464E-3</v>
      </c>
      <c r="CY22" s="25">
        <f t="shared" si="38"/>
        <v>5.0019995644736694E-4</v>
      </c>
      <c r="CZ22" s="25">
        <f t="shared" si="38"/>
        <v>1.6254490855900233E-3</v>
      </c>
      <c r="DA22" s="25">
        <f t="shared" si="38"/>
        <v>1.2517147982131783E-2</v>
      </c>
      <c r="DB22" s="25">
        <f t="shared" si="38"/>
        <v>7.5954628371005667E-3</v>
      </c>
      <c r="DC22" s="25">
        <f t="shared" si="38"/>
        <v>1.5529783876954082E-4</v>
      </c>
      <c r="DD22" s="25">
        <f t="shared" si="38"/>
        <v>1.9559410548858399E-3</v>
      </c>
      <c r="DE22" s="25">
        <f t="shared" si="38"/>
        <v>2.541801055671387E-3</v>
      </c>
      <c r="DF22" s="25">
        <f t="shared" si="38"/>
        <v>0.26338270598294156</v>
      </c>
      <c r="DG22" s="25">
        <f t="shared" si="38"/>
        <v>0</v>
      </c>
      <c r="DH22" s="25">
        <f t="shared" si="38"/>
        <v>4.4897714859812629E-2</v>
      </c>
      <c r="DI22" s="25">
        <f t="shared" si="38"/>
        <v>4.0454429016933352E-3</v>
      </c>
      <c r="DJ22" s="25">
        <f t="shared" ref="DJ22:DO22" si="39">+DJ11/DJ$17</f>
        <v>0</v>
      </c>
      <c r="DK22" s="25">
        <f t="shared" si="39"/>
        <v>0</v>
      </c>
      <c r="DL22" s="25">
        <f t="shared" si="39"/>
        <v>0</v>
      </c>
      <c r="DM22" s="25">
        <f t="shared" si="39"/>
        <v>0</v>
      </c>
      <c r="DN22" s="25">
        <f t="shared" si="39"/>
        <v>1.3593514618109072E-3</v>
      </c>
      <c r="DO22" s="25">
        <f t="shared" si="39"/>
        <v>3.0311638449163635E-2</v>
      </c>
      <c r="DP22" s="25">
        <f t="shared" ref="DP22:DR22" si="40">+DP11/DP17</f>
        <v>1.6933954121476108E-2</v>
      </c>
      <c r="DQ22" s="25">
        <f t="shared" si="40"/>
        <v>0</v>
      </c>
      <c r="DR22" s="25">
        <f t="shared" si="40"/>
        <v>1.0740681972002224E-4</v>
      </c>
      <c r="DS22" s="25">
        <f t="shared" ref="DS22:FK22" si="41">+DS11/DS17</f>
        <v>6.5890204190977822E-4</v>
      </c>
      <c r="DT22" s="25">
        <f t="shared" si="41"/>
        <v>7.8219297771220907E-3</v>
      </c>
      <c r="DU22" s="25">
        <f t="shared" si="41"/>
        <v>4.9511388406304375E-3</v>
      </c>
      <c r="DV22" s="25">
        <f t="shared" si="41"/>
        <v>2.479369434320952E-3</v>
      </c>
      <c r="DW22" s="25">
        <f t="shared" si="41"/>
        <v>1.0857951802694965E-3</v>
      </c>
      <c r="DX22" s="25">
        <f t="shared" si="41"/>
        <v>3.0410657754907812E-4</v>
      </c>
      <c r="DY22" s="25">
        <f t="shared" si="41"/>
        <v>1.0022398871566486E-4</v>
      </c>
      <c r="DZ22" s="25">
        <f t="shared" si="41"/>
        <v>2.4965121826605922E-3</v>
      </c>
      <c r="EA22" s="25">
        <f t="shared" si="41"/>
        <v>5.1237486480789447E-4</v>
      </c>
      <c r="EB22" s="25">
        <f t="shared" si="41"/>
        <v>2.2174986325053488E-2</v>
      </c>
      <c r="EC22" s="25">
        <f t="shared" si="41"/>
        <v>3.5202844201598582E-4</v>
      </c>
      <c r="ED22" s="25">
        <f t="shared" si="41"/>
        <v>2.6048145649485112E-3</v>
      </c>
      <c r="EE22" s="25">
        <f t="shared" si="41"/>
        <v>4.1888982106581758E-4</v>
      </c>
      <c r="EF22" s="25">
        <f t="shared" si="41"/>
        <v>8.4493820297133705E-4</v>
      </c>
      <c r="EG22" s="25">
        <f t="shared" si="41"/>
        <v>3.0240097007860258E-2</v>
      </c>
      <c r="EH22" s="25">
        <f t="shared" si="41"/>
        <v>2.6500985212258747E-2</v>
      </c>
      <c r="EI22" s="25">
        <f t="shared" si="41"/>
        <v>3.5124109525893022E-3</v>
      </c>
      <c r="EJ22" s="25">
        <f t="shared" si="41"/>
        <v>1.1281865305431557E-2</v>
      </c>
      <c r="EK22" s="25">
        <f t="shared" si="41"/>
        <v>7.6787699740989389E-3</v>
      </c>
      <c r="EL22" s="25">
        <f t="shared" si="41"/>
        <v>1.0240402533770803E-2</v>
      </c>
      <c r="EM22" s="25">
        <f t="shared" si="41"/>
        <v>2.171154529409396E-2</v>
      </c>
      <c r="EN22" s="25">
        <f t="shared" si="41"/>
        <v>2.1437345897217928E-2</v>
      </c>
      <c r="EO22" s="25">
        <f t="shared" si="41"/>
        <v>6.6995495341408743E-4</v>
      </c>
      <c r="EP22" s="25">
        <f t="shared" si="41"/>
        <v>4.566995482760839E-3</v>
      </c>
      <c r="EQ22" s="68">
        <f t="shared" si="41"/>
        <v>2.219624202925772E-3</v>
      </c>
      <c r="ER22" s="68">
        <f t="shared" si="41"/>
        <v>9.4616953480479123E-4</v>
      </c>
      <c r="ES22" s="68">
        <f t="shared" si="41"/>
        <v>2.7299780301790637E-2</v>
      </c>
      <c r="ET22" s="80">
        <f t="shared" si="41"/>
        <v>4.3125424299729738E-3</v>
      </c>
      <c r="EU22" s="80">
        <f t="shared" si="41"/>
        <v>4.2292044297232529E-3</v>
      </c>
      <c r="EV22" s="80">
        <f t="shared" si="41"/>
        <v>3.6205826483582211E-3</v>
      </c>
      <c r="EW22" s="80">
        <f t="shared" si="41"/>
        <v>2.9774093771966549E-4</v>
      </c>
      <c r="EX22" s="80">
        <f t="shared" si="41"/>
        <v>2.2651986819301659E-3</v>
      </c>
      <c r="EY22" s="80">
        <f t="shared" si="41"/>
        <v>1.9691843086788305E-3</v>
      </c>
      <c r="EZ22" s="80">
        <f t="shared" si="41"/>
        <v>2.7071102047208514E-3</v>
      </c>
      <c r="FA22" s="80">
        <f t="shared" si="41"/>
        <v>3.7221922843035923E-2</v>
      </c>
      <c r="FB22" s="80">
        <f t="shared" si="41"/>
        <v>4.5899203140744319E-2</v>
      </c>
      <c r="FC22" s="80">
        <f t="shared" si="41"/>
        <v>1.575928918833016E-2</v>
      </c>
      <c r="FD22" s="80">
        <f t="shared" si="41"/>
        <v>7.1349912390773426E-4</v>
      </c>
      <c r="FE22" s="80">
        <f t="shared" si="41"/>
        <v>1.1185877578514703E-2</v>
      </c>
      <c r="FF22" s="80">
        <f t="shared" si="41"/>
        <v>5.8557417958678545E-3</v>
      </c>
      <c r="FG22" s="80">
        <f t="shared" si="41"/>
        <v>1.8621062999493534E-3</v>
      </c>
      <c r="FH22" s="80">
        <f t="shared" si="41"/>
        <v>4.8089448426767511E-4</v>
      </c>
      <c r="FI22" s="80">
        <f t="shared" si="41"/>
        <v>3.4260549015838817E-4</v>
      </c>
      <c r="FJ22" s="80">
        <f t="shared" si="41"/>
        <v>5.2261965120857273E-4</v>
      </c>
      <c r="FK22" s="80">
        <f t="shared" si="41"/>
        <v>1.4593244770979364E-3</v>
      </c>
    </row>
    <row r="23" spans="1:167" s="26" customFormat="1" ht="24.95" customHeight="1">
      <c r="A23" s="24" t="s">
        <v>1</v>
      </c>
      <c r="B23" s="25" t="e">
        <f t="shared" ref="B23:BM23" si="42">+B12/B$17</f>
        <v>#DIV/0!</v>
      </c>
      <c r="C23" s="25">
        <f t="shared" si="42"/>
        <v>4.0253096916637983E-2</v>
      </c>
      <c r="D23" s="25">
        <f t="shared" si="42"/>
        <v>0.12504145747215453</v>
      </c>
      <c r="E23" s="25">
        <f t="shared" si="42"/>
        <v>7.6071565976763608E-2</v>
      </c>
      <c r="F23" s="25">
        <f t="shared" si="42"/>
        <v>1.0688824681329884E-2</v>
      </c>
      <c r="G23" s="25">
        <f t="shared" si="42"/>
        <v>1.8124456019295979E-2</v>
      </c>
      <c r="H23" s="25">
        <f t="shared" si="42"/>
        <v>2.411224412921915E-3</v>
      </c>
      <c r="I23" s="25">
        <f t="shared" si="42"/>
        <v>2.9643061950069757E-2</v>
      </c>
      <c r="J23" s="25">
        <f t="shared" si="42"/>
        <v>4.1085143915275485E-2</v>
      </c>
      <c r="K23" s="25">
        <f t="shared" si="42"/>
        <v>8.6713233379262476E-3</v>
      </c>
      <c r="L23" s="25">
        <f t="shared" si="42"/>
        <v>2.189823997856373E-2</v>
      </c>
      <c r="M23" s="25">
        <f t="shared" si="42"/>
        <v>7.9271164310110002E-4</v>
      </c>
      <c r="N23" s="25">
        <f t="shared" si="42"/>
        <v>2.0612122348179951E-3</v>
      </c>
      <c r="O23" s="25">
        <f t="shared" si="42"/>
        <v>0.18656475996628191</v>
      </c>
      <c r="P23" s="25">
        <f t="shared" si="42"/>
        <v>3.3029810797309891E-2</v>
      </c>
      <c r="Q23" s="25">
        <f t="shared" si="42"/>
        <v>4.2020341829033499E-3</v>
      </c>
      <c r="R23" s="25">
        <f t="shared" si="42"/>
        <v>2.2873927879278016E-3</v>
      </c>
      <c r="S23" s="25">
        <f t="shared" si="42"/>
        <v>2.8388824589468116E-3</v>
      </c>
      <c r="T23" s="25">
        <f t="shared" si="42"/>
        <v>1.9313685853213117E-3</v>
      </c>
      <c r="U23" s="25">
        <f t="shared" si="42"/>
        <v>5.8894373323026947E-5</v>
      </c>
      <c r="V23" s="25">
        <f t="shared" si="42"/>
        <v>-3.9663713012122667E-3</v>
      </c>
      <c r="W23" s="25">
        <f t="shared" si="42"/>
        <v>1.3828366572339964E-2</v>
      </c>
      <c r="X23" s="25">
        <f t="shared" si="42"/>
        <v>4.0732424883433453E-3</v>
      </c>
      <c r="Y23" s="25">
        <f t="shared" si="42"/>
        <v>1.6856969451163077E-3</v>
      </c>
      <c r="Z23" s="25">
        <f t="shared" si="42"/>
        <v>6.5446183946236004E-4</v>
      </c>
      <c r="AA23" s="25">
        <f t="shared" si="42"/>
        <v>6.0121097298805812E-3</v>
      </c>
      <c r="AB23" s="25">
        <f t="shared" si="42"/>
        <v>3.7058014437503519E-3</v>
      </c>
      <c r="AC23" s="25">
        <f t="shared" si="42"/>
        <v>4.6651549058571969E-3</v>
      </c>
      <c r="AD23" s="25">
        <f t="shared" si="42"/>
        <v>2.813522705430117E-2</v>
      </c>
      <c r="AE23" s="25">
        <f t="shared" si="42"/>
        <v>1.9755331556743144E-3</v>
      </c>
      <c r="AF23" s="25">
        <f t="shared" si="42"/>
        <v>1.4826480056001942E-3</v>
      </c>
      <c r="AG23" s="25">
        <f t="shared" si="42"/>
        <v>9.7576460336871226E-4</v>
      </c>
      <c r="AH23" s="25">
        <f t="shared" si="42"/>
        <v>9.8512370966740738E-3</v>
      </c>
      <c r="AI23" s="25">
        <f t="shared" si="42"/>
        <v>5.5234186001487722E-3</v>
      </c>
      <c r="AJ23" s="25">
        <f t="shared" si="42"/>
        <v>1.4398726233105453E-3</v>
      </c>
      <c r="AK23" s="25">
        <f t="shared" si="42"/>
        <v>4.0265713786112969E-4</v>
      </c>
      <c r="AL23" s="25">
        <f t="shared" si="42"/>
        <v>5.4814245099168578E-4</v>
      </c>
      <c r="AM23" s="25">
        <f t="shared" si="42"/>
        <v>1.2797334954112139E-3</v>
      </c>
      <c r="AN23" s="25">
        <f t="shared" si="42"/>
        <v>-3.7732284959061876E-2</v>
      </c>
      <c r="AO23" s="25">
        <f t="shared" si="42"/>
        <v>3.8850482574214966E-2</v>
      </c>
      <c r="AP23" s="25">
        <f t="shared" si="42"/>
        <v>1.721299489590191E-3</v>
      </c>
      <c r="AQ23" s="25">
        <f t="shared" si="42"/>
        <v>1.113712917212711E-2</v>
      </c>
      <c r="AR23" s="25">
        <f t="shared" si="42"/>
        <v>-3.6560950631902439E-4</v>
      </c>
      <c r="AS23" s="25">
        <f t="shared" si="42"/>
        <v>7.6447193963928941E-4</v>
      </c>
      <c r="AT23" s="25">
        <f t="shared" si="42"/>
        <v>6.6643303282730073E-3</v>
      </c>
      <c r="AU23" s="25">
        <f t="shared" si="42"/>
        <v>2.0809330830144175E-3</v>
      </c>
      <c r="AV23" s="25">
        <f t="shared" si="42"/>
        <v>5.9760409845141917E-3</v>
      </c>
      <c r="AW23" s="25">
        <f t="shared" si="42"/>
        <v>2.7795356638286915E-4</v>
      </c>
      <c r="AX23" s="25">
        <f t="shared" si="42"/>
        <v>4.8082224166986852E-4</v>
      </c>
      <c r="AY23" s="25">
        <f t="shared" si="42"/>
        <v>8.8559262445635709E-3</v>
      </c>
      <c r="AZ23" s="25">
        <f t="shared" si="42"/>
        <v>0</v>
      </c>
      <c r="BA23" s="25">
        <f t="shared" si="42"/>
        <v>7.2958498076675102E-3</v>
      </c>
      <c r="BB23" s="25">
        <f t="shared" si="42"/>
        <v>6.7957455622398759E-3</v>
      </c>
      <c r="BC23" s="25">
        <f t="shared" si="42"/>
        <v>8.1771062261418254E-2</v>
      </c>
      <c r="BD23" s="25">
        <f t="shared" si="42"/>
        <v>1.1322599434973551E-2</v>
      </c>
      <c r="BE23" s="25">
        <f t="shared" si="42"/>
        <v>3.8408717320094397E-2</v>
      </c>
      <c r="BF23" s="25">
        <f t="shared" si="42"/>
        <v>7.3879395901162012E-3</v>
      </c>
      <c r="BG23" s="25">
        <f t="shared" si="42"/>
        <v>1.9185656471578079E-3</v>
      </c>
      <c r="BH23" s="25">
        <f t="shared" si="42"/>
        <v>1.9748431473672071E-2</v>
      </c>
      <c r="BI23" s="25">
        <f t="shared" si="42"/>
        <v>0.14205166677023648</v>
      </c>
      <c r="BJ23" s="25">
        <f t="shared" si="42"/>
        <v>1.1963497759922059E-2</v>
      </c>
      <c r="BK23" s="25">
        <f t="shared" si="42"/>
        <v>0.12833024833557255</v>
      </c>
      <c r="BL23" s="25">
        <f t="shared" si="42"/>
        <v>0.34235426228902133</v>
      </c>
      <c r="BM23" s="25">
        <f t="shared" si="42"/>
        <v>1.2897168454203465E-2</v>
      </c>
      <c r="BN23" s="25">
        <f t="shared" ref="BN23:DJ23" si="43">+BN12/BN$17</f>
        <v>1.2120407266920484E-2</v>
      </c>
      <c r="BO23" s="25">
        <f t="shared" si="43"/>
        <v>1.6970141738096755E-2</v>
      </c>
      <c r="BP23" s="25">
        <f t="shared" si="43"/>
        <v>4.7306039083125206E-3</v>
      </c>
      <c r="BQ23" s="25">
        <f t="shared" si="43"/>
        <v>1.4031454084650147E-2</v>
      </c>
      <c r="BR23" s="25">
        <f t="shared" si="43"/>
        <v>4.6405387176271726E-3</v>
      </c>
      <c r="BS23" s="25">
        <f t="shared" si="43"/>
        <v>2.4523891422295007E-2</v>
      </c>
      <c r="BT23" s="25">
        <f t="shared" si="43"/>
        <v>2.3397030825132396E-2</v>
      </c>
      <c r="BU23" s="25">
        <f t="shared" si="43"/>
        <v>5.1887908581792234E-3</v>
      </c>
      <c r="BV23" s="25">
        <f t="shared" si="43"/>
        <v>7.1821625975204148E-3</v>
      </c>
      <c r="BW23" s="25">
        <f t="shared" si="43"/>
        <v>4.153154067826513E-2</v>
      </c>
      <c r="BX23" s="25">
        <f t="shared" si="43"/>
        <v>8.3130551631077979E-2</v>
      </c>
      <c r="BY23" s="25">
        <f t="shared" si="43"/>
        <v>1.9969889882491553E-2</v>
      </c>
      <c r="BZ23" s="25">
        <f t="shared" si="43"/>
        <v>0.25586794364272858</v>
      </c>
      <c r="CA23" s="25">
        <f t="shared" si="43"/>
        <v>9.7125470435489979E-3</v>
      </c>
      <c r="CB23" s="25">
        <f t="shared" si="43"/>
        <v>1.1918465351163487E-2</v>
      </c>
      <c r="CC23" s="25">
        <f t="shared" si="43"/>
        <v>7.403268389001811E-3</v>
      </c>
      <c r="CD23" s="25">
        <f t="shared" si="43"/>
        <v>5.2184313693642154E-3</v>
      </c>
      <c r="CE23" s="25">
        <f t="shared" si="43"/>
        <v>1.1476439585146693E-2</v>
      </c>
      <c r="CF23" s="25">
        <f t="shared" si="43"/>
        <v>2.1644202349996615E-3</v>
      </c>
      <c r="CG23" s="25">
        <f t="shared" si="43"/>
        <v>5.1828342859632486E-3</v>
      </c>
      <c r="CH23" s="25">
        <f t="shared" si="43"/>
        <v>1.5048464730369998E-3</v>
      </c>
      <c r="CI23" s="25">
        <f t="shared" si="43"/>
        <v>3.5709310485701827E-2</v>
      </c>
      <c r="CJ23" s="25">
        <f t="shared" si="43"/>
        <v>8.9211546378464207E-2</v>
      </c>
      <c r="CK23" s="25">
        <f t="shared" si="43"/>
        <v>3.5222009797846593E-2</v>
      </c>
      <c r="CL23" s="25">
        <f t="shared" si="43"/>
        <v>7.5418700105115669E-4</v>
      </c>
      <c r="CM23" s="25">
        <f t="shared" si="43"/>
        <v>3.6381718603747018E-2</v>
      </c>
      <c r="CN23" s="25">
        <f t="shared" si="43"/>
        <v>3.9342041202870763E-2</v>
      </c>
      <c r="CO23" s="25">
        <f t="shared" si="43"/>
        <v>6.4105853056278375E-2</v>
      </c>
      <c r="CP23" s="25">
        <f t="shared" si="43"/>
        <v>3.8356137814321817E-2</v>
      </c>
      <c r="CQ23" s="25">
        <f t="shared" si="43"/>
        <v>4.1804544198081276E-3</v>
      </c>
      <c r="CR23" s="25">
        <f t="shared" si="43"/>
        <v>6.2148437743848092E-3</v>
      </c>
      <c r="CS23" s="25">
        <f t="shared" si="43"/>
        <v>1.5945353952699606E-2</v>
      </c>
      <c r="CT23" s="25">
        <f t="shared" si="43"/>
        <v>0.22459180459459532</v>
      </c>
      <c r="CU23" s="25">
        <f t="shared" si="43"/>
        <v>6.219400476120384E-2</v>
      </c>
      <c r="CV23" s="25">
        <f t="shared" si="43"/>
        <v>0.11410686783428971</v>
      </c>
      <c r="CW23" s="25">
        <f t="shared" si="43"/>
        <v>1.2962996370224607E-2</v>
      </c>
      <c r="CX23" s="25">
        <f t="shared" si="43"/>
        <v>2.1356498900373229E-2</v>
      </c>
      <c r="CY23" s="25">
        <f t="shared" si="43"/>
        <v>2.5324718481781892E-2</v>
      </c>
      <c r="CZ23" s="25">
        <f t="shared" si="43"/>
        <v>6.7846688856277098E-3</v>
      </c>
      <c r="DA23" s="25">
        <f t="shared" si="43"/>
        <v>1.8154600745822438E-2</v>
      </c>
      <c r="DB23" s="25">
        <f t="shared" si="43"/>
        <v>2.2248769845187272E-2</v>
      </c>
      <c r="DC23" s="25">
        <f t="shared" si="43"/>
        <v>1.4253200516364013E-2</v>
      </c>
      <c r="DD23" s="25">
        <f t="shared" si="43"/>
        <v>3.7082830580288398E-2</v>
      </c>
      <c r="DE23" s="25">
        <f t="shared" si="43"/>
        <v>5.0964574176820812E-3</v>
      </c>
      <c r="DF23" s="25">
        <f t="shared" si="43"/>
        <v>3.732447681753911E-3</v>
      </c>
      <c r="DG23" s="25">
        <f t="shared" si="43"/>
        <v>0.11632684787631467</v>
      </c>
      <c r="DH23" s="25">
        <f t="shared" si="43"/>
        <v>0.29647074595081829</v>
      </c>
      <c r="DI23" s="25">
        <f t="shared" si="43"/>
        <v>9.37167829756545E-2</v>
      </c>
      <c r="DJ23" s="25">
        <f t="shared" si="43"/>
        <v>1.6242530359004144E-2</v>
      </c>
      <c r="DK23" s="25">
        <f t="shared" ref="DK23:DO23" si="44">+DK12/DK$17</f>
        <v>4.7525076098588762E-2</v>
      </c>
      <c r="DL23" s="25">
        <f t="shared" si="44"/>
        <v>0</v>
      </c>
      <c r="DM23" s="25">
        <f t="shared" si="44"/>
        <v>2.4700627413728154E-3</v>
      </c>
      <c r="DN23" s="25">
        <f t="shared" si="44"/>
        <v>3.4211515388690023E-2</v>
      </c>
      <c r="DO23" s="25">
        <f t="shared" si="44"/>
        <v>7.9182011134941513E-2</v>
      </c>
      <c r="DP23" s="25">
        <f t="shared" ref="DP23:DR23" si="45">+DP12/DP17</f>
        <v>8.61913914735595E-3</v>
      </c>
      <c r="DQ23" s="25">
        <f t="shared" si="45"/>
        <v>-2.8987148569040869E-3</v>
      </c>
      <c r="DR23" s="25">
        <f t="shared" si="45"/>
        <v>4.1550483980813731E-3</v>
      </c>
      <c r="DS23" s="25">
        <f t="shared" ref="DS23:FK23" si="46">+DS12/DS17</f>
        <v>7.9609519466161863E-2</v>
      </c>
      <c r="DT23" s="25">
        <f t="shared" si="46"/>
        <v>1.6868985959019301E-2</v>
      </c>
      <c r="DU23" s="25">
        <f t="shared" si="46"/>
        <v>3.3503126176021143E-2</v>
      </c>
      <c r="DV23" s="25">
        <f t="shared" si="46"/>
        <v>6.7218742673882709E-4</v>
      </c>
      <c r="DW23" s="25">
        <f t="shared" si="46"/>
        <v>2.5020246859103298E-2</v>
      </c>
      <c r="DX23" s="25">
        <f t="shared" si="46"/>
        <v>4.8312029246576557E-2</v>
      </c>
      <c r="DY23" s="25">
        <f t="shared" si="46"/>
        <v>4.1683252875264433E-3</v>
      </c>
      <c r="DZ23" s="25">
        <f t="shared" si="46"/>
        <v>2.0988122268780544E-2</v>
      </c>
      <c r="EA23" s="25">
        <f t="shared" si="46"/>
        <v>6.1777488586612569E-2</v>
      </c>
      <c r="EB23" s="25">
        <f t="shared" si="46"/>
        <v>8.8269374171140186E-3</v>
      </c>
      <c r="EC23" s="25">
        <f t="shared" si="46"/>
        <v>4.4030538658781218E-2</v>
      </c>
      <c r="ED23" s="25">
        <f t="shared" si="46"/>
        <v>8.2661839632815984E-3</v>
      </c>
      <c r="EE23" s="25">
        <f t="shared" si="46"/>
        <v>6.903304251164674E-3</v>
      </c>
      <c r="EF23" s="25">
        <f t="shared" si="46"/>
        <v>1.5117641815907867E-2</v>
      </c>
      <c r="EG23" s="25">
        <f t="shared" si="46"/>
        <v>2.5409979743538272E-2</v>
      </c>
      <c r="EH23" s="25">
        <f t="shared" si="46"/>
        <v>2.6090443867720622E-2</v>
      </c>
      <c r="EI23" s="25">
        <f t="shared" si="46"/>
        <v>1.68079250694716E-2</v>
      </c>
      <c r="EJ23" s="25">
        <f t="shared" si="46"/>
        <v>2.5301586015559024E-2</v>
      </c>
      <c r="EK23" s="25">
        <f t="shared" si="46"/>
        <v>3.1778609859892067E-2</v>
      </c>
      <c r="EL23" s="25">
        <f t="shared" si="46"/>
        <v>4.2096794591658951E-2</v>
      </c>
      <c r="EM23" s="25">
        <f t="shared" si="46"/>
        <v>1.2861280922341083E-2</v>
      </c>
      <c r="EN23" s="25">
        <f t="shared" si="46"/>
        <v>2.68149801596387E-2</v>
      </c>
      <c r="EO23" s="25">
        <f t="shared" si="46"/>
        <v>1.6541606717947022E-2</v>
      </c>
      <c r="EP23" s="25">
        <f t="shared" si="46"/>
        <v>3.2653909449165658E-2</v>
      </c>
      <c r="EQ23" s="68">
        <f t="shared" si="46"/>
        <v>0.25536205688205427</v>
      </c>
      <c r="ER23" s="68">
        <f t="shared" si="46"/>
        <v>9.1314334081757584E-3</v>
      </c>
      <c r="ES23" s="68">
        <f t="shared" si="46"/>
        <v>3.6560980743826785E-2</v>
      </c>
      <c r="ET23" s="80">
        <f t="shared" si="46"/>
        <v>1.4366951754292832E-2</v>
      </c>
      <c r="EU23" s="80">
        <f t="shared" si="46"/>
        <v>3.1336427130426142E-2</v>
      </c>
      <c r="EV23" s="80">
        <f t="shared" si="46"/>
        <v>2.5960878468714234E-2</v>
      </c>
      <c r="EW23" s="80">
        <f t="shared" si="46"/>
        <v>9.3113285115934922E-3</v>
      </c>
      <c r="EX23" s="80">
        <f t="shared" si="46"/>
        <v>2.1708089915373926E-2</v>
      </c>
      <c r="EY23" s="80">
        <f t="shared" si="46"/>
        <v>5.9568222234256077E-2</v>
      </c>
      <c r="EZ23" s="80">
        <f t="shared" si="46"/>
        <v>3.2220309912933988E-2</v>
      </c>
      <c r="FA23" s="80">
        <f t="shared" si="46"/>
        <v>1.260148647853275E-2</v>
      </c>
      <c r="FB23" s="80">
        <f t="shared" si="46"/>
        <v>4.8994944119280107E-3</v>
      </c>
      <c r="FC23" s="80">
        <f t="shared" si="46"/>
        <v>4.6006129664000819E-2</v>
      </c>
      <c r="FD23" s="80">
        <f t="shared" si="46"/>
        <v>8.2267034900037062E-3</v>
      </c>
      <c r="FE23" s="80">
        <f t="shared" si="46"/>
        <v>1.4320158250109221E-2</v>
      </c>
      <c r="FF23" s="80">
        <f t="shared" si="46"/>
        <v>3.5302983857956071E-3</v>
      </c>
      <c r="FG23" s="80">
        <f t="shared" si="46"/>
        <v>0</v>
      </c>
      <c r="FH23" s="80">
        <f t="shared" si="46"/>
        <v>3.0869704306403555E-3</v>
      </c>
      <c r="FI23" s="80">
        <f t="shared" si="46"/>
        <v>3.2147495667958605E-3</v>
      </c>
      <c r="FJ23" s="80">
        <f t="shared" si="46"/>
        <v>4.6445502012791383E-4</v>
      </c>
      <c r="FK23" s="80">
        <f t="shared" si="46"/>
        <v>2.8980764753230464E-3</v>
      </c>
    </row>
    <row r="24" spans="1:167" s="26" customFormat="1" ht="24.95" customHeight="1">
      <c r="A24" s="24" t="s">
        <v>2</v>
      </c>
      <c r="B24" s="25" t="e">
        <f t="shared" ref="B24:BM24" si="47">+B13/B$17</f>
        <v>#DIV/0!</v>
      </c>
      <c r="C24" s="25">
        <f t="shared" si="47"/>
        <v>0.75541823154040633</v>
      </c>
      <c r="D24" s="25">
        <f t="shared" si="47"/>
        <v>0.77293653633870874</v>
      </c>
      <c r="E24" s="25">
        <f t="shared" si="47"/>
        <v>0.47203344419647264</v>
      </c>
      <c r="F24" s="25">
        <f t="shared" si="47"/>
        <v>0.27516548394114843</v>
      </c>
      <c r="G24" s="25">
        <f t="shared" si="47"/>
        <v>0.37224403542245976</v>
      </c>
      <c r="H24" s="25">
        <f t="shared" si="47"/>
        <v>0.41139479582966776</v>
      </c>
      <c r="I24" s="25">
        <f t="shared" si="47"/>
        <v>0.81809256108421258</v>
      </c>
      <c r="J24" s="25">
        <f t="shared" si="47"/>
        <v>0.27966439157289102</v>
      </c>
      <c r="K24" s="25">
        <f t="shared" si="47"/>
        <v>9.2663884030342814E-2</v>
      </c>
      <c r="L24" s="25">
        <f t="shared" si="47"/>
        <v>0.22722024539328767</v>
      </c>
      <c r="M24" s="25">
        <f t="shared" si="47"/>
        <v>7.1823298130841415E-2</v>
      </c>
      <c r="N24" s="25">
        <f t="shared" si="47"/>
        <v>4.5853681255693925E-2</v>
      </c>
      <c r="O24" s="25">
        <f t="shared" si="47"/>
        <v>0.59617541795427531</v>
      </c>
      <c r="P24" s="25">
        <f t="shared" si="47"/>
        <v>0.64843349870294154</v>
      </c>
      <c r="Q24" s="25">
        <f t="shared" si="47"/>
        <v>4.9392551564153168E-2</v>
      </c>
      <c r="R24" s="25">
        <f t="shared" si="47"/>
        <v>3.9236643804552079E-2</v>
      </c>
      <c r="S24" s="25">
        <f t="shared" si="47"/>
        <v>3.8194136430706384E-2</v>
      </c>
      <c r="T24" s="25">
        <f t="shared" si="47"/>
        <v>2.2052674902738288E-2</v>
      </c>
      <c r="U24" s="25">
        <f t="shared" si="47"/>
        <v>1.1606231026847323E-2</v>
      </c>
      <c r="V24" s="25">
        <f t="shared" si="47"/>
        <v>-3.9762154381447443</v>
      </c>
      <c r="W24" s="25">
        <f t="shared" si="47"/>
        <v>7.4145946673588981E-2</v>
      </c>
      <c r="X24" s="25">
        <f t="shared" si="47"/>
        <v>9.3976258071035823E-2</v>
      </c>
      <c r="Y24" s="25">
        <f t="shared" si="47"/>
        <v>2.7339245793509565E-2</v>
      </c>
      <c r="Z24" s="25">
        <f t="shared" si="47"/>
        <v>0.26087320966445504</v>
      </c>
      <c r="AA24" s="25">
        <f t="shared" si="47"/>
        <v>0.46873126033362911</v>
      </c>
      <c r="AB24" s="25">
        <f t="shared" si="47"/>
        <v>0.63454531757637134</v>
      </c>
      <c r="AC24" s="25">
        <f t="shared" si="47"/>
        <v>0.42996112354304439</v>
      </c>
      <c r="AD24" s="25">
        <f t="shared" si="47"/>
        <v>3.6766211299548802E-2</v>
      </c>
      <c r="AE24" s="25">
        <f t="shared" si="47"/>
        <v>5.6220354872674141E-2</v>
      </c>
      <c r="AF24" s="25">
        <f t="shared" si="47"/>
        <v>4.7758885965601801E-2</v>
      </c>
      <c r="AG24" s="25">
        <f t="shared" si="47"/>
        <v>6.6449773380520452E-2</v>
      </c>
      <c r="AH24" s="25">
        <f t="shared" si="47"/>
        <v>0.1638194411807963</v>
      </c>
      <c r="AI24" s="25">
        <f t="shared" si="47"/>
        <v>4.1180313756425606E-2</v>
      </c>
      <c r="AJ24" s="25">
        <f t="shared" si="47"/>
        <v>4.3204490971944676E-2</v>
      </c>
      <c r="AK24" s="25">
        <f t="shared" si="47"/>
        <v>2.3011384047018846E-2</v>
      </c>
      <c r="AL24" s="25">
        <f t="shared" si="47"/>
        <v>1.0315875823531816E-2</v>
      </c>
      <c r="AM24" s="25">
        <f t="shared" si="47"/>
        <v>2.0584038348067681E-2</v>
      </c>
      <c r="AN24" s="25">
        <f t="shared" si="47"/>
        <v>-0.93996174632584828</v>
      </c>
      <c r="AO24" s="25">
        <f t="shared" si="47"/>
        <v>0.84873646416814641</v>
      </c>
      <c r="AP24" s="25">
        <f t="shared" si="47"/>
        <v>0.35217185797668499</v>
      </c>
      <c r="AQ24" s="25">
        <f t="shared" si="47"/>
        <v>0.27165985805316256</v>
      </c>
      <c r="AR24" s="25">
        <f t="shared" si="47"/>
        <v>-7.9084588276056522E-2</v>
      </c>
      <c r="AS24" s="25">
        <f t="shared" si="47"/>
        <v>5.0639304464796461E-2</v>
      </c>
      <c r="AT24" s="25">
        <f t="shared" si="47"/>
        <v>5.5626463169040678E-2</v>
      </c>
      <c r="AU24" s="25">
        <f t="shared" si="47"/>
        <v>6.6346011233233443E-2</v>
      </c>
      <c r="AV24" s="25">
        <f t="shared" si="47"/>
        <v>7.4900804163397797E-2</v>
      </c>
      <c r="AW24" s="25">
        <f t="shared" si="47"/>
        <v>0.15464727786502605</v>
      </c>
      <c r="AX24" s="25">
        <f t="shared" si="47"/>
        <v>5.0248785870647246E-2</v>
      </c>
      <c r="AY24" s="25">
        <f t="shared" si="47"/>
        <v>0.12142409817791681</v>
      </c>
      <c r="AZ24" s="25">
        <f t="shared" si="47"/>
        <v>0.43639705064061207</v>
      </c>
      <c r="BA24" s="25">
        <f t="shared" si="47"/>
        <v>0.78652429715219185</v>
      </c>
      <c r="BB24" s="25">
        <f t="shared" si="47"/>
        <v>0.10235286863578381</v>
      </c>
      <c r="BC24" s="25">
        <f t="shared" si="47"/>
        <v>0.75520934084785585</v>
      </c>
      <c r="BD24" s="25">
        <f t="shared" si="47"/>
        <v>0.11257655696299379</v>
      </c>
      <c r="BE24" s="25">
        <f t="shared" si="47"/>
        <v>0.60638479912201526</v>
      </c>
      <c r="BF24" s="25">
        <f t="shared" si="47"/>
        <v>0.33667338083650578</v>
      </c>
      <c r="BG24" s="25">
        <f t="shared" si="47"/>
        <v>0.18271963813228106</v>
      </c>
      <c r="BH24" s="25">
        <f t="shared" si="47"/>
        <v>0.23415170012416325</v>
      </c>
      <c r="BI24" s="25">
        <f t="shared" si="47"/>
        <v>6.7857210238026613E-2</v>
      </c>
      <c r="BJ24" s="25">
        <f t="shared" si="47"/>
        <v>4.3295616265285074E-2</v>
      </c>
      <c r="BK24" s="25">
        <f t="shared" si="47"/>
        <v>0.85084148279791871</v>
      </c>
      <c r="BL24" s="25">
        <f t="shared" si="47"/>
        <v>0.62656565663090757</v>
      </c>
      <c r="BM24" s="25">
        <f t="shared" si="47"/>
        <v>0.9158687801501445</v>
      </c>
      <c r="BN24" s="25">
        <f t="shared" ref="BN24:DJ24" si="48">+BN13/BN$17</f>
        <v>0.13843247475945578</v>
      </c>
      <c r="BO24" s="25">
        <f t="shared" si="48"/>
        <v>0.64808283371218933</v>
      </c>
      <c r="BP24" s="25">
        <f t="shared" si="48"/>
        <v>0.26510352402936271</v>
      </c>
      <c r="BQ24" s="25">
        <f t="shared" si="48"/>
        <v>7.7187848674088635E-2</v>
      </c>
      <c r="BR24" s="25">
        <f t="shared" si="48"/>
        <v>0.2083737798158522</v>
      </c>
      <c r="BS24" s="25">
        <f t="shared" si="48"/>
        <v>6.5937212184859387E-2</v>
      </c>
      <c r="BT24" s="25">
        <f t="shared" si="48"/>
        <v>0.1960519845478029</v>
      </c>
      <c r="BU24" s="25">
        <f t="shared" si="48"/>
        <v>8.1053637088020214E-2</v>
      </c>
      <c r="BV24" s="25">
        <f t="shared" si="48"/>
        <v>3.5479130440482155E-2</v>
      </c>
      <c r="BW24" s="25">
        <f t="shared" si="48"/>
        <v>0.92890137153215691</v>
      </c>
      <c r="BX24" s="25">
        <f t="shared" si="48"/>
        <v>0.90000104144077553</v>
      </c>
      <c r="BY24" s="25">
        <f t="shared" si="48"/>
        <v>0.22029120497766178</v>
      </c>
      <c r="BZ24" s="25">
        <f t="shared" si="48"/>
        <v>0.39757007268371936</v>
      </c>
      <c r="CA24" s="25">
        <f t="shared" si="48"/>
        <v>0.76343562226285366</v>
      </c>
      <c r="CB24" s="25">
        <f t="shared" si="48"/>
        <v>0.13464454842901619</v>
      </c>
      <c r="CC24" s="25">
        <f t="shared" si="48"/>
        <v>0.21608941779572333</v>
      </c>
      <c r="CD24" s="25">
        <f t="shared" si="48"/>
        <v>5.7854678329204275E-2</v>
      </c>
      <c r="CE24" s="25">
        <f t="shared" si="48"/>
        <v>8.6442270213110753E-2</v>
      </c>
      <c r="CF24" s="25">
        <f t="shared" si="48"/>
        <v>0.20707960794503638</v>
      </c>
      <c r="CG24" s="25">
        <f t="shared" si="48"/>
        <v>9.46282723389235E-2</v>
      </c>
      <c r="CH24" s="25">
        <f t="shared" si="48"/>
        <v>1.2477825621036791E-2</v>
      </c>
      <c r="CI24" s="25">
        <f t="shared" si="48"/>
        <v>0.94178177034562316</v>
      </c>
      <c r="CJ24" s="25">
        <f t="shared" si="48"/>
        <v>0.89470941114770464</v>
      </c>
      <c r="CK24" s="25">
        <f t="shared" si="48"/>
        <v>0.88900866146453794</v>
      </c>
      <c r="CL24" s="25">
        <f t="shared" si="48"/>
        <v>0.15008269532807014</v>
      </c>
      <c r="CM24" s="25">
        <f t="shared" si="48"/>
        <v>0.93137061299986879</v>
      </c>
      <c r="CN24" s="25">
        <f t="shared" si="48"/>
        <v>0.92173664263290811</v>
      </c>
      <c r="CO24" s="25">
        <f t="shared" si="48"/>
        <v>0.47692078675469923</v>
      </c>
      <c r="CP24" s="25">
        <f t="shared" si="48"/>
        <v>0.32489988497283823</v>
      </c>
      <c r="CQ24" s="25">
        <f t="shared" si="48"/>
        <v>4.3827644126673462E-2</v>
      </c>
      <c r="CR24" s="25">
        <f t="shared" si="48"/>
        <v>0.11132862639234574</v>
      </c>
      <c r="CS24" s="25">
        <f t="shared" si="48"/>
        <v>0.15334629668001865</v>
      </c>
      <c r="CT24" s="25">
        <f t="shared" si="48"/>
        <v>0.47517893870393213</v>
      </c>
      <c r="CU24" s="25">
        <f t="shared" si="48"/>
        <v>0.88913694546994382</v>
      </c>
      <c r="CV24" s="25">
        <f t="shared" si="48"/>
        <v>0.51956648088439572</v>
      </c>
      <c r="CW24" s="25">
        <f t="shared" si="48"/>
        <v>1.0129717554510997</v>
      </c>
      <c r="CX24" s="25">
        <f t="shared" si="48"/>
        <v>0.9762471729879022</v>
      </c>
      <c r="CY24" s="25">
        <f t="shared" si="48"/>
        <v>0.97308238319754514</v>
      </c>
      <c r="CZ24" s="25">
        <f t="shared" si="48"/>
        <v>0.98952065750061424</v>
      </c>
      <c r="DA24" s="25">
        <f t="shared" si="48"/>
        <v>0.70560254557536473</v>
      </c>
      <c r="DB24" s="25">
        <f t="shared" si="48"/>
        <v>0.58507954409224927</v>
      </c>
      <c r="DC24" s="25">
        <f t="shared" si="48"/>
        <v>0.31541511825859553</v>
      </c>
      <c r="DD24" s="25">
        <f t="shared" si="48"/>
        <v>0.63879584975778503</v>
      </c>
      <c r="DE24" s="25">
        <f t="shared" si="48"/>
        <v>0.17902071474400377</v>
      </c>
      <c r="DF24" s="25">
        <f t="shared" si="48"/>
        <v>0.1703012340183396</v>
      </c>
      <c r="DG24" s="25">
        <f t="shared" si="48"/>
        <v>0.88014093223598855</v>
      </c>
      <c r="DH24" s="25">
        <f t="shared" si="48"/>
        <v>0.44058012536183716</v>
      </c>
      <c r="DI24" s="25">
        <f t="shared" si="48"/>
        <v>0.88418468278456575</v>
      </c>
      <c r="DJ24" s="25">
        <f t="shared" si="48"/>
        <v>0.98375746964099586</v>
      </c>
      <c r="DK24" s="25">
        <f t="shared" ref="DK24:DO24" si="49">+DK13/DK$17</f>
        <v>0.95247492390141131</v>
      </c>
      <c r="DL24" s="25">
        <f t="shared" si="49"/>
        <v>-1.5898726868142095E-2</v>
      </c>
      <c r="DM24" s="25">
        <f t="shared" si="49"/>
        <v>5.136707124330335E-2</v>
      </c>
      <c r="DN24" s="25">
        <f t="shared" si="49"/>
        <v>0.281584025451315</v>
      </c>
      <c r="DO24" s="25">
        <f t="shared" si="49"/>
        <v>0.81737962460714908</v>
      </c>
      <c r="DP24" s="25">
        <f t="shared" ref="DP24:DR24" si="50">+DP13/DP17</f>
        <v>0.18816411722047652</v>
      </c>
      <c r="DQ24" s="25">
        <f t="shared" si="50"/>
        <v>0.53592722014955974</v>
      </c>
      <c r="DR24" s="25">
        <f t="shared" si="50"/>
        <v>-3.8963019569030698E-3</v>
      </c>
      <c r="DS24" s="25">
        <f t="shared" ref="DS24:FK24" si="51">+DS13/DS17</f>
        <v>0.91973157849192833</v>
      </c>
      <c r="DT24" s="25">
        <f t="shared" si="51"/>
        <v>0.97424462703344239</v>
      </c>
      <c r="DU24" s="25">
        <f t="shared" si="51"/>
        <v>0.95972614904031939</v>
      </c>
      <c r="DV24" s="25">
        <f t="shared" si="51"/>
        <v>0.9933683455068697</v>
      </c>
      <c r="DW24" s="25">
        <f t="shared" si="51"/>
        <v>0.45674118750956422</v>
      </c>
      <c r="DX24" s="25">
        <f t="shared" si="51"/>
        <v>0.67845400123975208</v>
      </c>
      <c r="DY24" s="25">
        <f t="shared" si="51"/>
        <v>0.86163133698966954</v>
      </c>
      <c r="DZ24" s="25">
        <f t="shared" si="51"/>
        <v>0.97513502209122371</v>
      </c>
      <c r="EA24" s="25">
        <f t="shared" si="51"/>
        <v>0.57769122302086751</v>
      </c>
      <c r="EB24" s="25">
        <f t="shared" si="51"/>
        <v>0.5846279400740938</v>
      </c>
      <c r="EC24" s="25">
        <f t="shared" si="51"/>
        <v>0.38036692266996391</v>
      </c>
      <c r="ED24" s="25">
        <f t="shared" si="51"/>
        <v>7.51181520910114E-2</v>
      </c>
      <c r="EE24" s="25">
        <f t="shared" si="51"/>
        <v>0.98682005066998513</v>
      </c>
      <c r="EF24" s="25">
        <f t="shared" si="51"/>
        <v>0.98324332192119135</v>
      </c>
      <c r="EG24" s="25">
        <f t="shared" si="51"/>
        <v>0.93842144883914091</v>
      </c>
      <c r="EH24" s="25">
        <f t="shared" si="51"/>
        <v>0.94588814878320715</v>
      </c>
      <c r="EI24" s="25">
        <f t="shared" si="51"/>
        <v>0.62653739115480078</v>
      </c>
      <c r="EJ24" s="25">
        <f t="shared" si="51"/>
        <v>0.27900682673593014</v>
      </c>
      <c r="EK24" s="25">
        <f t="shared" si="51"/>
        <v>0.70001955923715842</v>
      </c>
      <c r="EL24" s="25">
        <f t="shared" si="51"/>
        <v>0.66352940398012861</v>
      </c>
      <c r="EM24" s="25">
        <f t="shared" si="51"/>
        <v>0.50655431610641444</v>
      </c>
      <c r="EN24" s="25">
        <f t="shared" si="51"/>
        <v>0.9433907185084226</v>
      </c>
      <c r="EO24" s="25">
        <f t="shared" si="51"/>
        <v>7.2334457375578753E-2</v>
      </c>
      <c r="EP24" s="25">
        <f t="shared" si="51"/>
        <v>0.39144607823254673</v>
      </c>
      <c r="EQ24" s="68">
        <f t="shared" si="51"/>
        <v>0.70186979344705991</v>
      </c>
      <c r="ER24" s="68">
        <f t="shared" si="51"/>
        <v>0.98868532180738344</v>
      </c>
      <c r="ES24" s="68">
        <f t="shared" si="51"/>
        <v>0.93058301822485467</v>
      </c>
      <c r="ET24" s="80">
        <f t="shared" si="51"/>
        <v>0.97874700687235872</v>
      </c>
      <c r="EU24" s="80">
        <f t="shared" si="51"/>
        <v>0.54740404985654834</v>
      </c>
      <c r="EV24" s="80">
        <f t="shared" si="51"/>
        <v>0.96847329098646218</v>
      </c>
      <c r="EW24" s="80">
        <f t="shared" si="51"/>
        <v>0.39381564190879298</v>
      </c>
      <c r="EX24" s="80">
        <f t="shared" si="51"/>
        <v>0.66359692577891904</v>
      </c>
      <c r="EY24" s="80">
        <f t="shared" si="51"/>
        <v>0.69718718687856684</v>
      </c>
      <c r="EZ24" s="80">
        <f t="shared" si="51"/>
        <v>0.34434792883405629</v>
      </c>
      <c r="FA24" s="80">
        <f t="shared" si="51"/>
        <v>0.53757958139793438</v>
      </c>
      <c r="FB24" s="80">
        <f t="shared" si="51"/>
        <v>0.21713175772452548</v>
      </c>
      <c r="FC24" s="80">
        <f t="shared" si="51"/>
        <v>0.92313322684775345</v>
      </c>
      <c r="FD24" s="80">
        <f t="shared" si="51"/>
        <v>0.9878269898925458</v>
      </c>
      <c r="FE24" s="80">
        <f t="shared" si="51"/>
        <v>0.9260088226143256</v>
      </c>
      <c r="FF24" s="80">
        <f t="shared" si="51"/>
        <v>0.85075597563072913</v>
      </c>
      <c r="FG24" s="80">
        <f t="shared" si="51"/>
        <v>0.78053804211022393</v>
      </c>
      <c r="FH24" s="80">
        <f t="shared" si="51"/>
        <v>0.16813320786956581</v>
      </c>
      <c r="FI24" s="80">
        <f t="shared" si="51"/>
        <v>0.34377688805300366</v>
      </c>
      <c r="FJ24" s="80">
        <f t="shared" si="51"/>
        <v>0.40461897891798165</v>
      </c>
      <c r="FK24" s="80">
        <f t="shared" si="51"/>
        <v>7.7697193489161792E-2</v>
      </c>
    </row>
    <row r="25" spans="1:167" s="26" customFormat="1" ht="24.95" customHeight="1">
      <c r="A25" s="24" t="s">
        <v>3</v>
      </c>
      <c r="B25" s="25" t="e">
        <f t="shared" ref="B25:BM25" si="52">+B14/B$17</f>
        <v>#DIV/0!</v>
      </c>
      <c r="C25" s="25">
        <f t="shared" si="52"/>
        <v>2.5858798822486338E-2</v>
      </c>
      <c r="D25" s="25">
        <f t="shared" si="52"/>
        <v>2.1953658805327153E-2</v>
      </c>
      <c r="E25" s="25">
        <f t="shared" si="52"/>
        <v>-9.3602090352396486E-2</v>
      </c>
      <c r="F25" s="25">
        <f t="shared" si="52"/>
        <v>1.3897337358624681E-2</v>
      </c>
      <c r="G25" s="25">
        <f t="shared" si="52"/>
        <v>5.1008455334899203E-3</v>
      </c>
      <c r="H25" s="25">
        <f t="shared" si="52"/>
        <v>-2.9322245067887926E-3</v>
      </c>
      <c r="I25" s="25">
        <f t="shared" si="52"/>
        <v>2.4533103761241746E-3</v>
      </c>
      <c r="J25" s="25">
        <f t="shared" si="52"/>
        <v>3.8678134755473726E-3</v>
      </c>
      <c r="K25" s="25">
        <f t="shared" si="52"/>
        <v>2.637112056032969E-2</v>
      </c>
      <c r="L25" s="25">
        <f t="shared" si="52"/>
        <v>-1.9882207173861011E-2</v>
      </c>
      <c r="M25" s="25">
        <f t="shared" si="52"/>
        <v>9.3742063202838807E-4</v>
      </c>
      <c r="N25" s="25">
        <f t="shared" si="52"/>
        <v>3.4433534346964588E-4</v>
      </c>
      <c r="O25" s="25">
        <f t="shared" si="52"/>
        <v>4.9712986174632434E-2</v>
      </c>
      <c r="P25" s="25">
        <f t="shared" si="52"/>
        <v>7.6262206244041919E-3</v>
      </c>
      <c r="Q25" s="25">
        <f t="shared" si="52"/>
        <v>4.9015067854201214E-4</v>
      </c>
      <c r="R25" s="25">
        <f t="shared" si="52"/>
        <v>6.5906732034064393E-3</v>
      </c>
      <c r="S25" s="25">
        <f t="shared" si="52"/>
        <v>3.0737016242712448E-3</v>
      </c>
      <c r="T25" s="25">
        <f t="shared" si="52"/>
        <v>2.579795757537037E-4</v>
      </c>
      <c r="U25" s="25">
        <f t="shared" si="52"/>
        <v>2.353714301653707E-4</v>
      </c>
      <c r="V25" s="25">
        <f t="shared" si="52"/>
        <v>-8.5998141394465974E-3</v>
      </c>
      <c r="W25" s="25">
        <f t="shared" si="52"/>
        <v>2.6776304993702837E-3</v>
      </c>
      <c r="X25" s="25">
        <f t="shared" si="52"/>
        <v>8.3645396199197644E-4</v>
      </c>
      <c r="Y25" s="25">
        <f t="shared" si="52"/>
        <v>4.8033875171815617E-4</v>
      </c>
      <c r="Z25" s="25">
        <f t="shared" si="52"/>
        <v>3.2128126664515857E-4</v>
      </c>
      <c r="AA25" s="25">
        <f t="shared" si="52"/>
        <v>-9.2473129292789009E-4</v>
      </c>
      <c r="AB25" s="25">
        <f t="shared" si="52"/>
        <v>1.4198404601542758E-2</v>
      </c>
      <c r="AC25" s="25">
        <f t="shared" si="52"/>
        <v>3.7819459673696693E-3</v>
      </c>
      <c r="AD25" s="25">
        <f t="shared" si="52"/>
        <v>4.0615866378355577E-3</v>
      </c>
      <c r="AE25" s="25">
        <f t="shared" si="52"/>
        <v>1.1446645657253768E-3</v>
      </c>
      <c r="AF25" s="25">
        <f t="shared" si="52"/>
        <v>3.5495049887999567E-4</v>
      </c>
      <c r="AG25" s="25">
        <f t="shared" si="52"/>
        <v>1.2670347065695119E-3</v>
      </c>
      <c r="AH25" s="25">
        <f t="shared" si="52"/>
        <v>1.6560105921192899E-3</v>
      </c>
      <c r="AI25" s="25">
        <f t="shared" si="52"/>
        <v>5.5674939130132464E-3</v>
      </c>
      <c r="AJ25" s="25">
        <f t="shared" si="52"/>
        <v>3.3384315634759433E-4</v>
      </c>
      <c r="AK25" s="25">
        <f t="shared" si="52"/>
        <v>2.9394527989364346E-4</v>
      </c>
      <c r="AL25" s="25">
        <f t="shared" si="52"/>
        <v>2.9017459410485904E-4</v>
      </c>
      <c r="AM25" s="25">
        <f t="shared" si="52"/>
        <v>9.1109175467391998E-5</v>
      </c>
      <c r="AN25" s="25">
        <f t="shared" si="52"/>
        <v>-1.6200915131676343E-2</v>
      </c>
      <c r="AO25" s="25">
        <f t="shared" si="52"/>
        <v>2.4438638730101783E-2</v>
      </c>
      <c r="AP25" s="25">
        <f t="shared" si="52"/>
        <v>5.7376649653006363E-3</v>
      </c>
      <c r="AQ25" s="25">
        <f t="shared" si="52"/>
        <v>2.2570496105640755E-3</v>
      </c>
      <c r="AR25" s="25">
        <f t="shared" si="52"/>
        <v>-8.1329461609742156E-4</v>
      </c>
      <c r="AS25" s="25">
        <f t="shared" si="52"/>
        <v>6.9768257451280347E-4</v>
      </c>
      <c r="AT25" s="25">
        <f t="shared" si="52"/>
        <v>5.8109022676335808E-3</v>
      </c>
      <c r="AU25" s="25">
        <f t="shared" si="52"/>
        <v>4.3811982001480475E-4</v>
      </c>
      <c r="AV25" s="25">
        <f t="shared" si="52"/>
        <v>6.1438696938031327E-3</v>
      </c>
      <c r="AW25" s="25">
        <f t="shared" si="52"/>
        <v>1.5155616338029669E-2</v>
      </c>
      <c r="AX25" s="25">
        <f t="shared" si="52"/>
        <v>8.5201769232704332E-3</v>
      </c>
      <c r="AY25" s="25">
        <f t="shared" si="52"/>
        <v>2.6220986548590795E-3</v>
      </c>
      <c r="AZ25" s="25">
        <f t="shared" si="52"/>
        <v>1.832486477581384E-2</v>
      </c>
      <c r="BA25" s="25">
        <f t="shared" si="52"/>
        <v>4.118178428402812E-2</v>
      </c>
      <c r="BB25" s="25">
        <f t="shared" si="52"/>
        <v>2.4352602711591861E-3</v>
      </c>
      <c r="BC25" s="25">
        <f t="shared" si="52"/>
        <v>3.8497327037165165E-2</v>
      </c>
      <c r="BD25" s="25">
        <f t="shared" si="52"/>
        <v>1.2650108723657801E-2</v>
      </c>
      <c r="BE25" s="25">
        <f t="shared" si="52"/>
        <v>-3.7473094259605925E-2</v>
      </c>
      <c r="BF25" s="25">
        <f t="shared" si="52"/>
        <v>2.099210282186285E-3</v>
      </c>
      <c r="BG25" s="25">
        <f t="shared" si="52"/>
        <v>1.3850701822896196E-3</v>
      </c>
      <c r="BH25" s="25">
        <f t="shared" si="52"/>
        <v>5.3342358364727033E-2</v>
      </c>
      <c r="BI25" s="25">
        <f t="shared" si="52"/>
        <v>0.14745452119713151</v>
      </c>
      <c r="BJ25" s="25">
        <f t="shared" si="52"/>
        <v>1.5148418994660347E-3</v>
      </c>
      <c r="BK25" s="25">
        <f t="shared" si="52"/>
        <v>1.9941681592950129E-2</v>
      </c>
      <c r="BL25" s="25">
        <f t="shared" si="52"/>
        <v>2.904384916864703E-2</v>
      </c>
      <c r="BM25" s="25">
        <f t="shared" si="52"/>
        <v>7.0108947054542153E-2</v>
      </c>
      <c r="BN25" s="25">
        <f t="shared" ref="BN25:DJ25" si="53">+BN14/BN$17</f>
        <v>2.5335573716950294E-2</v>
      </c>
      <c r="BO25" s="25">
        <f t="shared" si="53"/>
        <v>2.0841554643472263E-2</v>
      </c>
      <c r="BP25" s="25">
        <f t="shared" si="53"/>
        <v>3.2911168194713063E-2</v>
      </c>
      <c r="BQ25" s="25">
        <f t="shared" si="53"/>
        <v>9.6356798836824762E-4</v>
      </c>
      <c r="BR25" s="25">
        <f t="shared" si="53"/>
        <v>2.8920042394936195E-3</v>
      </c>
      <c r="BS25" s="25">
        <f t="shared" si="53"/>
        <v>4.7566027651141183E-3</v>
      </c>
      <c r="BT25" s="25">
        <f t="shared" si="53"/>
        <v>4.2058784034376809E-2</v>
      </c>
      <c r="BU25" s="25">
        <f t="shared" si="53"/>
        <v>1.7521756290662148E-3</v>
      </c>
      <c r="BV25" s="25">
        <f t="shared" si="53"/>
        <v>5.0023780644143255E-3</v>
      </c>
      <c r="BW25" s="25">
        <f t="shared" si="53"/>
        <v>8.5849128547115915E-3</v>
      </c>
      <c r="BX25" s="25">
        <f t="shared" si="53"/>
        <v>1.2087666800362599E-2</v>
      </c>
      <c r="BY25" s="25">
        <f t="shared" si="53"/>
        <v>7.7206180632265432E-3</v>
      </c>
      <c r="BZ25" s="25">
        <f t="shared" si="53"/>
        <v>0.12020148521735463</v>
      </c>
      <c r="CA25" s="25">
        <f t="shared" si="53"/>
        <v>6.5497479202597667E-3</v>
      </c>
      <c r="CB25" s="25">
        <f t="shared" si="53"/>
        <v>3.5303725123816479E-3</v>
      </c>
      <c r="CC25" s="25">
        <f t="shared" si="53"/>
        <v>-8.4364663522967925E-3</v>
      </c>
      <c r="CD25" s="25">
        <f t="shared" si="53"/>
        <v>2.5584682460909644E-3</v>
      </c>
      <c r="CE25" s="25">
        <f t="shared" si="53"/>
        <v>5.6210957549380179E-3</v>
      </c>
      <c r="CF25" s="25">
        <f t="shared" si="53"/>
        <v>2.1475466541456597E-4</v>
      </c>
      <c r="CG25" s="25">
        <f t="shared" si="53"/>
        <v>8.2796158203463036E-3</v>
      </c>
      <c r="CH25" s="25">
        <f t="shared" si="53"/>
        <v>7.6140840291373758E-3</v>
      </c>
      <c r="CI25" s="25">
        <f t="shared" si="53"/>
        <v>1.5691309489101742E-2</v>
      </c>
      <c r="CJ25" s="25">
        <f t="shared" si="53"/>
        <v>9.4500768495764456E-3</v>
      </c>
      <c r="CK25" s="25">
        <f t="shared" si="53"/>
        <v>6.8422070304144003E-2</v>
      </c>
      <c r="CL25" s="25">
        <f t="shared" si="53"/>
        <v>2.5138359519630712E-3</v>
      </c>
      <c r="CM25" s="25">
        <f t="shared" si="53"/>
        <v>8.0058312769637208E-3</v>
      </c>
      <c r="CN25" s="25">
        <f t="shared" si="53"/>
        <v>3.3059814872536869E-2</v>
      </c>
      <c r="CO25" s="25">
        <f t="shared" si="53"/>
        <v>4.9389155346425365E-2</v>
      </c>
      <c r="CP25" s="25">
        <f t="shared" si="53"/>
        <v>1.1725620197883773E-2</v>
      </c>
      <c r="CQ25" s="25">
        <f t="shared" si="53"/>
        <v>7.2976717952447426E-4</v>
      </c>
      <c r="CR25" s="25">
        <f t="shared" si="53"/>
        <v>6.4291669914323096E-3</v>
      </c>
      <c r="CS25" s="25">
        <f t="shared" si="53"/>
        <v>3.4988061385550591E-3</v>
      </c>
      <c r="CT25" s="25">
        <f t="shared" si="53"/>
        <v>0.23090792008036556</v>
      </c>
      <c r="CU25" s="25">
        <f t="shared" si="53"/>
        <v>4.1956594048483419E-2</v>
      </c>
      <c r="CV25" s="25">
        <f t="shared" si="53"/>
        <v>0.3647388834002061</v>
      </c>
      <c r="CW25" s="25">
        <f t="shared" si="53"/>
        <v>-2.734364409752019E-2</v>
      </c>
      <c r="CX25" s="25">
        <f t="shared" si="53"/>
        <v>4.3266813007239116E-4</v>
      </c>
      <c r="CY25" s="25">
        <f t="shared" si="53"/>
        <v>1.0926983642255486E-3</v>
      </c>
      <c r="CZ25" s="25">
        <f t="shared" si="53"/>
        <v>2.0692245281679817E-3</v>
      </c>
      <c r="DA25" s="25">
        <f t="shared" si="53"/>
        <v>8.117106670670008E-3</v>
      </c>
      <c r="DB25" s="25">
        <f t="shared" si="53"/>
        <v>1.8630057955056384E-3</v>
      </c>
      <c r="DC25" s="25">
        <f t="shared" si="53"/>
        <v>7.3823458094375203E-4</v>
      </c>
      <c r="DD25" s="25">
        <f t="shared" si="53"/>
        <v>3.9593976117315004E-3</v>
      </c>
      <c r="DE25" s="25">
        <f t="shared" si="53"/>
        <v>8.442290730291829E-4</v>
      </c>
      <c r="DF25" s="25">
        <f t="shared" si="53"/>
        <v>1.1921877007013964E-3</v>
      </c>
      <c r="DG25" s="25">
        <f t="shared" si="53"/>
        <v>3.5322198876968232E-3</v>
      </c>
      <c r="DH25" s="25">
        <f t="shared" si="53"/>
        <v>0.21805141382753193</v>
      </c>
      <c r="DI25" s="25">
        <f t="shared" si="53"/>
        <v>1.805309133808642E-2</v>
      </c>
      <c r="DJ25" s="25">
        <f t="shared" si="53"/>
        <v>0</v>
      </c>
      <c r="DK25" s="25">
        <f t="shared" ref="DK25:DO25" si="54">+DK14/DK$17</f>
        <v>0</v>
      </c>
      <c r="DL25" s="25">
        <f t="shared" si="54"/>
        <v>1.0158987268681421</v>
      </c>
      <c r="DM25" s="25">
        <f t="shared" si="54"/>
        <v>0</v>
      </c>
      <c r="DN25" s="25">
        <f t="shared" si="54"/>
        <v>0</v>
      </c>
      <c r="DO25" s="25">
        <f t="shared" si="54"/>
        <v>0</v>
      </c>
      <c r="DP25" s="25">
        <f t="shared" ref="DP25:DR25" si="55">+DP14/DP17</f>
        <v>2.7246852056050535E-3</v>
      </c>
      <c r="DQ25" s="25">
        <f t="shared" si="55"/>
        <v>7.323069112178746E-5</v>
      </c>
      <c r="DR25" s="25">
        <f t="shared" si="55"/>
        <v>4.0454341034203718E-3</v>
      </c>
      <c r="DS25" s="25">
        <f t="shared" ref="DS25:FK25" si="56">+DS14/DS17</f>
        <v>0</v>
      </c>
      <c r="DT25" s="25">
        <f t="shared" si="56"/>
        <v>1.0644572304161098E-3</v>
      </c>
      <c r="DU25" s="25">
        <f t="shared" si="56"/>
        <v>1.8195859430289827E-3</v>
      </c>
      <c r="DV25" s="25">
        <f t="shared" si="56"/>
        <v>3.4800976320705636E-3</v>
      </c>
      <c r="DW25" s="25">
        <f t="shared" si="56"/>
        <v>2.7844471862277123E-3</v>
      </c>
      <c r="DX25" s="25">
        <f t="shared" si="56"/>
        <v>2.40168923808383E-4</v>
      </c>
      <c r="DY25" s="25">
        <f t="shared" si="56"/>
        <v>1.2927867003668495E-2</v>
      </c>
      <c r="DZ25" s="25">
        <f t="shared" si="56"/>
        <v>1.3803434573351229E-3</v>
      </c>
      <c r="EA25" s="25">
        <f t="shared" si="56"/>
        <v>0</v>
      </c>
      <c r="EB25" s="25">
        <f t="shared" si="56"/>
        <v>1.2800492199201222E-2</v>
      </c>
      <c r="EC25" s="25">
        <f t="shared" si="56"/>
        <v>8.1714580042202469E-3</v>
      </c>
      <c r="ED25" s="25">
        <f t="shared" si="56"/>
        <v>3.2956420697914913E-3</v>
      </c>
      <c r="EE25" s="25">
        <f t="shared" si="56"/>
        <v>5.8577552577843937E-3</v>
      </c>
      <c r="EF25" s="25">
        <f t="shared" si="56"/>
        <v>7.9409805992950052E-4</v>
      </c>
      <c r="EG25" s="25">
        <f t="shared" si="56"/>
        <v>5.9284744094605067E-3</v>
      </c>
      <c r="EH25" s="25">
        <f t="shared" si="56"/>
        <v>1.5204221368135561E-3</v>
      </c>
      <c r="EI25" s="25">
        <f t="shared" si="56"/>
        <v>1.3670527196389186E-2</v>
      </c>
      <c r="EJ25" s="25">
        <f t="shared" si="56"/>
        <v>3.4812993043521014E-3</v>
      </c>
      <c r="EK25" s="25">
        <f t="shared" si="56"/>
        <v>1.9138317111524712E-2</v>
      </c>
      <c r="EL25" s="25">
        <f t="shared" si="56"/>
        <v>7.3235897610443778E-3</v>
      </c>
      <c r="EM25" s="25">
        <f t="shared" si="56"/>
        <v>3.431189786702303E-3</v>
      </c>
      <c r="EN25" s="25">
        <f t="shared" si="56"/>
        <v>8.3569554347207725E-3</v>
      </c>
      <c r="EO25" s="25">
        <f t="shared" si="56"/>
        <v>7.5230311809289978E-3</v>
      </c>
      <c r="EP25" s="25">
        <f t="shared" si="56"/>
        <v>1.9063249274324904E-2</v>
      </c>
      <c r="EQ25" s="68">
        <f t="shared" si="56"/>
        <v>4.0548525467959985E-2</v>
      </c>
      <c r="ER25" s="68">
        <f t="shared" si="56"/>
        <v>1.2370752496359992E-3</v>
      </c>
      <c r="ES25" s="68">
        <f t="shared" si="56"/>
        <v>5.5562207295277981E-3</v>
      </c>
      <c r="ET25" s="80">
        <f t="shared" si="56"/>
        <v>2.5734989433754294E-3</v>
      </c>
      <c r="EU25" s="80">
        <f t="shared" si="56"/>
        <v>2.9576618339241289E-3</v>
      </c>
      <c r="EV25" s="80">
        <f t="shared" si="56"/>
        <v>1.9452478964652824E-3</v>
      </c>
      <c r="EW25" s="80">
        <f t="shared" si="56"/>
        <v>1.269345091364542E-2</v>
      </c>
      <c r="EX25" s="80">
        <f t="shared" si="56"/>
        <v>1.2126085127823661E-2</v>
      </c>
      <c r="EY25" s="80">
        <f t="shared" si="56"/>
        <v>2.6864576787531982E-2</v>
      </c>
      <c r="EZ25" s="80">
        <f t="shared" si="56"/>
        <v>8.9106272918315528E-3</v>
      </c>
      <c r="FA25" s="80">
        <f t="shared" si="56"/>
        <v>1.2662658742991647E-3</v>
      </c>
      <c r="FB25" s="80">
        <f t="shared" si="56"/>
        <v>9.2817257311063935E-3</v>
      </c>
      <c r="FC25" s="80">
        <f t="shared" si="56"/>
        <v>1.5101354299915581E-2</v>
      </c>
      <c r="FD25" s="80">
        <f t="shared" si="56"/>
        <v>3.2328074935427356E-3</v>
      </c>
      <c r="FE25" s="80">
        <f t="shared" si="56"/>
        <v>4.8485141557050505E-2</v>
      </c>
      <c r="FF25" s="80">
        <f t="shared" si="56"/>
        <v>5.3704266334891251E-3</v>
      </c>
      <c r="FG25" s="80">
        <f t="shared" si="56"/>
        <v>5.6337678105107519E-3</v>
      </c>
      <c r="FH25" s="80">
        <f t="shared" si="56"/>
        <v>2.5270121198531638E-3</v>
      </c>
      <c r="FI25" s="80">
        <f t="shared" si="56"/>
        <v>5.7728881871179944E-4</v>
      </c>
      <c r="FJ25" s="80">
        <f t="shared" si="56"/>
        <v>6.0688789296714073E-4</v>
      </c>
      <c r="FK25" s="80">
        <f t="shared" si="56"/>
        <v>5.3683416614317379E-4</v>
      </c>
    </row>
    <row r="26" spans="1:167" s="26" customFormat="1" ht="24.95" customHeight="1">
      <c r="A26" s="24" t="s">
        <v>4</v>
      </c>
      <c r="B26" s="25" t="e">
        <f t="shared" ref="B26:BM26" si="57">+B15/B$17</f>
        <v>#DIV/0!</v>
      </c>
      <c r="C26" s="25">
        <f t="shared" si="57"/>
        <v>0</v>
      </c>
      <c r="D26" s="25">
        <f t="shared" si="57"/>
        <v>0</v>
      </c>
      <c r="E26" s="25">
        <f t="shared" si="57"/>
        <v>0.38106589150654979</v>
      </c>
      <c r="F26" s="25">
        <f t="shared" si="57"/>
        <v>0.35038728012345571</v>
      </c>
      <c r="G26" s="25">
        <f t="shared" si="57"/>
        <v>0.51050306776897392</v>
      </c>
      <c r="H26" s="25">
        <f t="shared" si="57"/>
        <v>0.52760308122013877</v>
      </c>
      <c r="I26" s="25">
        <f t="shared" si="57"/>
        <v>7.6213430629530537E-2</v>
      </c>
      <c r="J26" s="25">
        <f t="shared" si="57"/>
        <v>0.60984378961196872</v>
      </c>
      <c r="K26" s="25">
        <f t="shared" si="57"/>
        <v>0.87354680559755615</v>
      </c>
      <c r="L26" s="25">
        <f t="shared" si="57"/>
        <v>0.7539854579527091</v>
      </c>
      <c r="M26" s="25">
        <f t="shared" si="57"/>
        <v>0.90213835337326276</v>
      </c>
      <c r="N26" s="25">
        <f t="shared" si="57"/>
        <v>0.93007977310185741</v>
      </c>
      <c r="O26" s="25">
        <f t="shared" si="57"/>
        <v>0</v>
      </c>
      <c r="P26" s="25">
        <f t="shared" si="57"/>
        <v>7.4777544193115331E-2</v>
      </c>
      <c r="Q26" s="25">
        <f t="shared" si="57"/>
        <v>0.86426398766273527</v>
      </c>
      <c r="R26" s="25">
        <f t="shared" si="57"/>
        <v>0.90866685030722827</v>
      </c>
      <c r="S26" s="25">
        <f t="shared" si="57"/>
        <v>0.9403610210967539</v>
      </c>
      <c r="T26" s="25">
        <f t="shared" si="57"/>
        <v>0.90830370688169182</v>
      </c>
      <c r="U26" s="25">
        <f t="shared" si="57"/>
        <v>0.98568719156417672</v>
      </c>
      <c r="V26" s="25">
        <f t="shared" si="57"/>
        <v>5.1980123251382278</v>
      </c>
      <c r="W26" s="25">
        <f t="shared" si="57"/>
        <v>0.90911233767519617</v>
      </c>
      <c r="X26" s="25">
        <f t="shared" si="57"/>
        <v>0.87446607765026274</v>
      </c>
      <c r="Y26" s="25">
        <f t="shared" si="57"/>
        <v>0.9173022987429893</v>
      </c>
      <c r="Z26" s="25">
        <f t="shared" si="57"/>
        <v>0.53243655013587687</v>
      </c>
      <c r="AA26" s="25">
        <f t="shared" si="57"/>
        <v>0.59733733111939469</v>
      </c>
      <c r="AB26" s="25">
        <f t="shared" si="57"/>
        <v>0.3352945522422095</v>
      </c>
      <c r="AC26" s="25">
        <f t="shared" si="57"/>
        <v>0.41496529561825229</v>
      </c>
      <c r="AD26" s="25">
        <f t="shared" si="57"/>
        <v>0.90293971960425323</v>
      </c>
      <c r="AE26" s="25">
        <f t="shared" si="57"/>
        <v>0.87403886961859034</v>
      </c>
      <c r="AF26" s="25">
        <f t="shared" si="57"/>
        <v>0.894588311500644</v>
      </c>
      <c r="AG26" s="25">
        <f t="shared" si="57"/>
        <v>0.89174656958091603</v>
      </c>
      <c r="AH26" s="25">
        <f t="shared" si="57"/>
        <v>0.7785298496763412</v>
      </c>
      <c r="AI26" s="25">
        <f t="shared" si="57"/>
        <v>0.92024719417250844</v>
      </c>
      <c r="AJ26" s="25">
        <f t="shared" si="57"/>
        <v>0.96452086522932134</v>
      </c>
      <c r="AK26" s="25">
        <f t="shared" si="57"/>
        <v>0.96028132439456448</v>
      </c>
      <c r="AL26" s="25">
        <f t="shared" si="57"/>
        <v>0.98247101996500918</v>
      </c>
      <c r="AM26" s="25">
        <f t="shared" si="57"/>
        <v>0.97796971251768494</v>
      </c>
      <c r="AN26" s="25">
        <f t="shared" si="57"/>
        <v>1.9974597109139876</v>
      </c>
      <c r="AO26" s="25">
        <f t="shared" si="57"/>
        <v>0</v>
      </c>
      <c r="AP26" s="25">
        <f t="shared" si="57"/>
        <v>0.6390939867459452</v>
      </c>
      <c r="AQ26" s="25">
        <f t="shared" si="57"/>
        <v>0.71400824086900527</v>
      </c>
      <c r="AR26" s="25">
        <f t="shared" si="57"/>
        <v>1.0804939759888947</v>
      </c>
      <c r="AS26" s="25">
        <f t="shared" si="57"/>
        <v>0.94750430742861114</v>
      </c>
      <c r="AT26" s="25">
        <f t="shared" si="57"/>
        <v>0.93097475388265727</v>
      </c>
      <c r="AU26" s="25">
        <f t="shared" si="57"/>
        <v>0.93097088720355292</v>
      </c>
      <c r="AV26" s="25">
        <f t="shared" si="57"/>
        <v>0.90991815660964448</v>
      </c>
      <c r="AW26" s="25">
        <f t="shared" si="57"/>
        <v>0.82808769266251681</v>
      </c>
      <c r="AX26" s="25">
        <f t="shared" si="57"/>
        <v>0.94028084540527401</v>
      </c>
      <c r="AY26" s="25">
        <f t="shared" si="57"/>
        <v>0.86679328153803625</v>
      </c>
      <c r="AZ26" s="25">
        <f t="shared" si="57"/>
        <v>6.8994219788455725E-3</v>
      </c>
      <c r="BA26" s="25">
        <f t="shared" si="57"/>
        <v>0.15467321673080317</v>
      </c>
      <c r="BB26" s="25">
        <f t="shared" si="57"/>
        <v>0.88729878407104423</v>
      </c>
      <c r="BC26" s="25">
        <f t="shared" si="57"/>
        <v>0.12372261840294171</v>
      </c>
      <c r="BD26" s="25">
        <f t="shared" si="57"/>
        <v>0.8632402828833291</v>
      </c>
      <c r="BE26" s="25">
        <f t="shared" si="57"/>
        <v>0.39133673530630014</v>
      </c>
      <c r="BF26" s="25">
        <f t="shared" si="57"/>
        <v>0.65367935893188645</v>
      </c>
      <c r="BG26" s="25">
        <f t="shared" si="57"/>
        <v>0.81324859078549394</v>
      </c>
      <c r="BH26" s="25">
        <f t="shared" si="57"/>
        <v>0.64854714474347641</v>
      </c>
      <c r="BI26" s="25">
        <f t="shared" si="57"/>
        <v>0.63603580284308603</v>
      </c>
      <c r="BJ26" s="25">
        <f t="shared" si="57"/>
        <v>0.94317118745310047</v>
      </c>
      <c r="BK26" s="25">
        <f t="shared" si="57"/>
        <v>0</v>
      </c>
      <c r="BL26" s="25">
        <f t="shared" si="57"/>
        <v>0</v>
      </c>
      <c r="BM26" s="25">
        <f t="shared" si="57"/>
        <v>0</v>
      </c>
      <c r="BN26" s="25">
        <f t="shared" ref="BN26:DJ26" si="58">+BN15/BN$17</f>
        <v>0.81501504368444044</v>
      </c>
      <c r="BO26" s="25">
        <f t="shared" si="58"/>
        <v>0.30964619024282064</v>
      </c>
      <c r="BP26" s="25">
        <f t="shared" si="58"/>
        <v>0.68358605961128482</v>
      </c>
      <c r="BQ26" s="25">
        <f t="shared" si="58"/>
        <v>0.90781712925289304</v>
      </c>
      <c r="BR26" s="25">
        <f t="shared" si="58"/>
        <v>0.77944136846235856</v>
      </c>
      <c r="BS26" s="25">
        <f t="shared" si="58"/>
        <v>0.90150662406595372</v>
      </c>
      <c r="BT26" s="25">
        <f t="shared" si="58"/>
        <v>0.7297472813330983</v>
      </c>
      <c r="BU26" s="25">
        <f t="shared" si="58"/>
        <v>0.86210880315225158</v>
      </c>
      <c r="BV26" s="25">
        <f t="shared" si="58"/>
        <v>0.95144873545661401</v>
      </c>
      <c r="BW26" s="25">
        <f t="shared" si="58"/>
        <v>0</v>
      </c>
      <c r="BX26" s="25">
        <f t="shared" si="58"/>
        <v>3.2595955416708134E-3</v>
      </c>
      <c r="BY26" s="25">
        <f t="shared" si="58"/>
        <v>0.74726067966662213</v>
      </c>
      <c r="BZ26" s="25">
        <f t="shared" si="58"/>
        <v>0.22474258716118892</v>
      </c>
      <c r="CA26" s="25">
        <f t="shared" si="58"/>
        <v>0.21936600358300892</v>
      </c>
      <c r="CB26" s="25">
        <f t="shared" si="58"/>
        <v>0.84956265548405296</v>
      </c>
      <c r="CC26" s="25">
        <f t="shared" si="58"/>
        <v>0.74477176321645966</v>
      </c>
      <c r="CD26" s="25">
        <f t="shared" si="58"/>
        <v>0.93424213950456925</v>
      </c>
      <c r="CE26" s="25">
        <f t="shared" si="58"/>
        <v>0.89503653503734182</v>
      </c>
      <c r="CF26" s="25">
        <f t="shared" si="58"/>
        <v>0.789658797597378</v>
      </c>
      <c r="CG26" s="25">
        <f t="shared" si="58"/>
        <v>0.89046852447933389</v>
      </c>
      <c r="CH26" s="25">
        <f t="shared" si="58"/>
        <v>0.97840324387678879</v>
      </c>
      <c r="CI26" s="25">
        <f t="shared" si="58"/>
        <v>0</v>
      </c>
      <c r="CJ26" s="25">
        <f t="shared" si="58"/>
        <v>0</v>
      </c>
      <c r="CK26" s="25">
        <f t="shared" si="58"/>
        <v>0</v>
      </c>
      <c r="CL26" s="25">
        <f t="shared" si="58"/>
        <v>0.8462948603049314</v>
      </c>
      <c r="CM26" s="25">
        <f t="shared" si="58"/>
        <v>2.0988845224211353E-2</v>
      </c>
      <c r="CN26" s="25">
        <f t="shared" si="58"/>
        <v>0</v>
      </c>
      <c r="CO26" s="25">
        <f t="shared" si="58"/>
        <v>0.40913966388595691</v>
      </c>
      <c r="CP26" s="25">
        <f t="shared" si="58"/>
        <v>0.62389169730270211</v>
      </c>
      <c r="CQ26" s="25">
        <f t="shared" si="58"/>
        <v>0.95016069704119721</v>
      </c>
      <c r="CR26" s="25">
        <f t="shared" si="58"/>
        <v>0.87433565634054189</v>
      </c>
      <c r="CS26" s="25">
        <f t="shared" si="58"/>
        <v>0.83360446735692884</v>
      </c>
      <c r="CT26" s="25">
        <f t="shared" si="58"/>
        <v>0</v>
      </c>
      <c r="CU26" s="25">
        <f t="shared" si="58"/>
        <v>0</v>
      </c>
      <c r="CV26" s="25">
        <f t="shared" si="58"/>
        <v>0</v>
      </c>
      <c r="CW26" s="25">
        <f t="shared" si="58"/>
        <v>0</v>
      </c>
      <c r="CX26" s="25">
        <f t="shared" si="58"/>
        <v>0</v>
      </c>
      <c r="CY26" s="25">
        <f t="shared" si="58"/>
        <v>0</v>
      </c>
      <c r="CZ26" s="25">
        <f t="shared" si="58"/>
        <v>0</v>
      </c>
      <c r="DA26" s="25">
        <f t="shared" si="58"/>
        <v>0.25560859902601107</v>
      </c>
      <c r="DB26" s="25">
        <f t="shared" si="58"/>
        <v>0.38321321742995723</v>
      </c>
      <c r="DC26" s="25">
        <f t="shared" si="58"/>
        <v>0.66943814880532715</v>
      </c>
      <c r="DD26" s="25">
        <f t="shared" si="58"/>
        <v>0.31820598099530922</v>
      </c>
      <c r="DE26" s="25">
        <f t="shared" si="58"/>
        <v>0.81249679770961358</v>
      </c>
      <c r="DF26" s="25">
        <f t="shared" si="58"/>
        <v>0.56139142461626346</v>
      </c>
      <c r="DG26" s="25">
        <f t="shared" si="58"/>
        <v>0</v>
      </c>
      <c r="DH26" s="25">
        <f t="shared" si="58"/>
        <v>0</v>
      </c>
      <c r="DI26" s="25">
        <f t="shared" si="58"/>
        <v>0</v>
      </c>
      <c r="DJ26" s="25">
        <f t="shared" si="58"/>
        <v>0</v>
      </c>
      <c r="DK26" s="25">
        <f t="shared" ref="DK26:DO26" si="59">+DK15/DK$17</f>
        <v>0</v>
      </c>
      <c r="DL26" s="25">
        <f t="shared" si="59"/>
        <v>0</v>
      </c>
      <c r="DM26" s="25">
        <f t="shared" si="59"/>
        <v>0.94616286601532384</v>
      </c>
      <c r="DN26" s="25">
        <f t="shared" si="59"/>
        <v>0.68284510769818407</v>
      </c>
      <c r="DO26" s="25">
        <f t="shared" si="59"/>
        <v>7.3126725808745768E-2</v>
      </c>
      <c r="DP26" s="25">
        <f t="shared" ref="DP26:DR26" si="60">+DP15/DP17</f>
        <v>0.78355810430508632</v>
      </c>
      <c r="DQ26" s="25">
        <f t="shared" si="60"/>
        <v>0.46689826401622259</v>
      </c>
      <c r="DR26" s="25">
        <f t="shared" si="60"/>
        <v>0.99558841263568121</v>
      </c>
      <c r="DS26" s="25">
        <f t="shared" ref="DS26:FK26" si="61">+DS15/DS17</f>
        <v>0</v>
      </c>
      <c r="DT26" s="25">
        <f t="shared" si="61"/>
        <v>0</v>
      </c>
      <c r="DU26" s="25">
        <f t="shared" si="61"/>
        <v>0</v>
      </c>
      <c r="DV26" s="25">
        <f t="shared" si="61"/>
        <v>0</v>
      </c>
      <c r="DW26" s="25">
        <f t="shared" si="61"/>
        <v>0.51436832326483528</v>
      </c>
      <c r="DX26" s="25">
        <f t="shared" si="61"/>
        <v>0.27268969401231397</v>
      </c>
      <c r="DY26" s="25">
        <f t="shared" si="61"/>
        <v>0.12117224673041986</v>
      </c>
      <c r="DZ26" s="25">
        <f t="shared" si="61"/>
        <v>0</v>
      </c>
      <c r="EA26" s="25">
        <f t="shared" si="61"/>
        <v>0.36001891352771204</v>
      </c>
      <c r="EB26" s="25">
        <f t="shared" si="61"/>
        <v>0.3715696439845374</v>
      </c>
      <c r="EC26" s="25">
        <f t="shared" si="61"/>
        <v>0.56707905222501864</v>
      </c>
      <c r="ED26" s="25">
        <f t="shared" si="61"/>
        <v>0.910715207310967</v>
      </c>
      <c r="EE26" s="25">
        <f t="shared" si="61"/>
        <v>0</v>
      </c>
      <c r="EF26" s="25">
        <f t="shared" si="61"/>
        <v>0</v>
      </c>
      <c r="EG26" s="25">
        <f t="shared" si="61"/>
        <v>0</v>
      </c>
      <c r="EH26" s="25">
        <f t="shared" si="61"/>
        <v>0</v>
      </c>
      <c r="EI26" s="25">
        <f t="shared" si="61"/>
        <v>0.33947174562674909</v>
      </c>
      <c r="EJ26" s="25">
        <f t="shared" si="61"/>
        <v>0.68092842263872722</v>
      </c>
      <c r="EK26" s="25">
        <f t="shared" si="61"/>
        <v>0.24138474381732594</v>
      </c>
      <c r="EL26" s="25">
        <f t="shared" si="61"/>
        <v>0.27680980913339731</v>
      </c>
      <c r="EM26" s="25">
        <f t="shared" si="61"/>
        <v>0.45544166789044832</v>
      </c>
      <c r="EN26" s="25">
        <f t="shared" si="61"/>
        <v>0</v>
      </c>
      <c r="EO26" s="25">
        <f t="shared" si="61"/>
        <v>0.90293094977213106</v>
      </c>
      <c r="EP26" s="25">
        <f t="shared" si="61"/>
        <v>0.55226976756120183</v>
      </c>
      <c r="EQ26" s="68">
        <f t="shared" si="61"/>
        <v>0</v>
      </c>
      <c r="ER26" s="68">
        <f t="shared" si="61"/>
        <v>0</v>
      </c>
      <c r="ES26" s="68">
        <f t="shared" si="61"/>
        <v>0</v>
      </c>
      <c r="ET26" s="80">
        <f t="shared" si="61"/>
        <v>0</v>
      </c>
      <c r="EU26" s="80">
        <f t="shared" si="61"/>
        <v>0.41407265674937804</v>
      </c>
      <c r="EV26" s="80">
        <f t="shared" si="61"/>
        <v>0</v>
      </c>
      <c r="EW26" s="80">
        <f t="shared" si="61"/>
        <v>0.58388183772824853</v>
      </c>
      <c r="EX26" s="80">
        <f t="shared" si="61"/>
        <v>0.30030370049595334</v>
      </c>
      <c r="EY26" s="80">
        <f t="shared" si="61"/>
        <v>0.21441082979096615</v>
      </c>
      <c r="EZ26" s="80">
        <f t="shared" si="61"/>
        <v>0.61181402375645733</v>
      </c>
      <c r="FA26" s="80">
        <f t="shared" si="61"/>
        <v>0.41133074340619785</v>
      </c>
      <c r="FB26" s="80">
        <f t="shared" si="61"/>
        <v>0.72278781899169586</v>
      </c>
      <c r="FC26" s="80">
        <f t="shared" si="61"/>
        <v>0</v>
      </c>
      <c r="FD26" s="80">
        <f t="shared" si="61"/>
        <v>0</v>
      </c>
      <c r="FE26" s="80">
        <f t="shared" si="61"/>
        <v>0</v>
      </c>
      <c r="FF26" s="80">
        <f t="shared" si="61"/>
        <v>0.13448755755411837</v>
      </c>
      <c r="FG26" s="80">
        <f t="shared" si="61"/>
        <v>0.21196608377931603</v>
      </c>
      <c r="FH26" s="80">
        <f t="shared" si="61"/>
        <v>0.82577191509567294</v>
      </c>
      <c r="FI26" s="80">
        <f t="shared" si="61"/>
        <v>0.65208846807133025</v>
      </c>
      <c r="FJ26" s="80">
        <f t="shared" si="61"/>
        <v>0.59378705851771474</v>
      </c>
      <c r="FK26" s="80">
        <f t="shared" si="61"/>
        <v>0.91740857139227416</v>
      </c>
    </row>
    <row r="27" spans="1:167" s="26" customFormat="1" ht="24.95" customHeight="1">
      <c r="A27" s="24" t="s">
        <v>17</v>
      </c>
      <c r="B27" s="25" t="e">
        <f t="shared" ref="B27:BM27" si="62">+B16/B$17</f>
        <v>#DIV/0!</v>
      </c>
      <c r="C27" s="25">
        <f t="shared" si="62"/>
        <v>0</v>
      </c>
      <c r="D27" s="25">
        <f t="shared" si="62"/>
        <v>7.897784560674441E-4</v>
      </c>
      <c r="E27" s="25">
        <f t="shared" si="62"/>
        <v>0</v>
      </c>
      <c r="F27" s="25">
        <f t="shared" si="62"/>
        <v>0</v>
      </c>
      <c r="G27" s="25">
        <f t="shared" si="62"/>
        <v>6.9255330143491098E-3</v>
      </c>
      <c r="H27" s="25">
        <f t="shared" si="62"/>
        <v>5.7822632838339973E-4</v>
      </c>
      <c r="I27" s="25">
        <f t="shared" si="62"/>
        <v>0</v>
      </c>
      <c r="J27" s="25">
        <f t="shared" si="62"/>
        <v>0</v>
      </c>
      <c r="K27" s="25">
        <f t="shared" si="62"/>
        <v>0</v>
      </c>
      <c r="L27" s="25">
        <f t="shared" si="62"/>
        <v>0</v>
      </c>
      <c r="M27" s="25">
        <f t="shared" si="62"/>
        <v>0</v>
      </c>
      <c r="N27" s="25">
        <f t="shared" si="62"/>
        <v>2.5064931362672894E-3</v>
      </c>
      <c r="O27" s="25">
        <f t="shared" si="62"/>
        <v>0</v>
      </c>
      <c r="P27" s="25">
        <f t="shared" si="62"/>
        <v>5.8933415502695206E-4</v>
      </c>
      <c r="Q27" s="25">
        <f t="shared" si="62"/>
        <v>-5.976888886683654E-5</v>
      </c>
      <c r="R27" s="25">
        <f t="shared" si="62"/>
        <v>1.4996226992154276E-4</v>
      </c>
      <c r="S27" s="25">
        <f t="shared" si="62"/>
        <v>0</v>
      </c>
      <c r="T27" s="25">
        <f t="shared" si="62"/>
        <v>3.1938229020394761E-2</v>
      </c>
      <c r="U27" s="25">
        <f t="shared" si="62"/>
        <v>0</v>
      </c>
      <c r="V27" s="25">
        <f t="shared" si="62"/>
        <v>0</v>
      </c>
      <c r="W27" s="25">
        <f t="shared" si="62"/>
        <v>0</v>
      </c>
      <c r="X27" s="25">
        <f t="shared" si="62"/>
        <v>-2.394674267260572E-4</v>
      </c>
      <c r="Y27" s="25">
        <f t="shared" si="62"/>
        <v>0</v>
      </c>
      <c r="Z27" s="25">
        <f t="shared" si="62"/>
        <v>0</v>
      </c>
      <c r="AA27" s="25">
        <f t="shared" si="62"/>
        <v>0</v>
      </c>
      <c r="AB27" s="25">
        <f t="shared" si="62"/>
        <v>0</v>
      </c>
      <c r="AC27" s="25">
        <f t="shared" si="62"/>
        <v>0</v>
      </c>
      <c r="AD27" s="25">
        <f t="shared" si="62"/>
        <v>0</v>
      </c>
      <c r="AE27" s="25">
        <f t="shared" si="62"/>
        <v>0</v>
      </c>
      <c r="AF27" s="25">
        <f t="shared" si="62"/>
        <v>0</v>
      </c>
      <c r="AG27" s="25">
        <f t="shared" si="62"/>
        <v>0</v>
      </c>
      <c r="AH27" s="25">
        <f t="shared" si="62"/>
        <v>6.4337320330841484E-4</v>
      </c>
      <c r="AI27" s="25">
        <f t="shared" si="62"/>
        <v>0</v>
      </c>
      <c r="AJ27" s="25">
        <f t="shared" si="62"/>
        <v>0</v>
      </c>
      <c r="AK27" s="25">
        <f t="shared" si="62"/>
        <v>0</v>
      </c>
      <c r="AL27" s="25">
        <f t="shared" si="62"/>
        <v>0</v>
      </c>
      <c r="AM27" s="25">
        <f t="shared" si="62"/>
        <v>0</v>
      </c>
      <c r="AN27" s="25">
        <f t="shared" si="62"/>
        <v>0</v>
      </c>
      <c r="AO27" s="25">
        <f t="shared" si="62"/>
        <v>0</v>
      </c>
      <c r="AP27" s="25">
        <f t="shared" si="62"/>
        <v>0</v>
      </c>
      <c r="AQ27" s="25">
        <f t="shared" si="62"/>
        <v>0</v>
      </c>
      <c r="AR27" s="25">
        <f t="shared" si="62"/>
        <v>0</v>
      </c>
      <c r="AS27" s="25">
        <f t="shared" si="62"/>
        <v>0</v>
      </c>
      <c r="AT27" s="25">
        <f t="shared" si="62"/>
        <v>0</v>
      </c>
      <c r="AU27" s="25">
        <f t="shared" si="62"/>
        <v>0</v>
      </c>
      <c r="AV27" s="25">
        <f t="shared" si="62"/>
        <v>0</v>
      </c>
      <c r="AW27" s="25">
        <f t="shared" si="62"/>
        <v>0</v>
      </c>
      <c r="AX27" s="25">
        <f t="shared" si="62"/>
        <v>0</v>
      </c>
      <c r="AY27" s="25">
        <f t="shared" si="62"/>
        <v>0</v>
      </c>
      <c r="AZ27" s="25">
        <f t="shared" si="62"/>
        <v>0</v>
      </c>
      <c r="BA27" s="25">
        <f t="shared" si="62"/>
        <v>1.457132346213031E-4</v>
      </c>
      <c r="BB27" s="25">
        <f t="shared" si="62"/>
        <v>0</v>
      </c>
      <c r="BC27" s="25">
        <f t="shared" si="62"/>
        <v>0</v>
      </c>
      <c r="BD27" s="25">
        <f t="shared" si="62"/>
        <v>0</v>
      </c>
      <c r="BE27" s="25">
        <f t="shared" si="62"/>
        <v>1.3428425111961238E-3</v>
      </c>
      <c r="BF27" s="25">
        <f t="shared" si="62"/>
        <v>0</v>
      </c>
      <c r="BG27" s="25">
        <f t="shared" si="62"/>
        <v>0</v>
      </c>
      <c r="BH27" s="25">
        <f t="shared" si="62"/>
        <v>7.9551733850416872E-3</v>
      </c>
      <c r="BI27" s="25">
        <f t="shared" si="62"/>
        <v>0</v>
      </c>
      <c r="BJ27" s="25">
        <f t="shared" si="62"/>
        <v>0</v>
      </c>
      <c r="BK27" s="25">
        <f t="shared" si="62"/>
        <v>0</v>
      </c>
      <c r="BL27" s="25">
        <f t="shared" si="62"/>
        <v>0</v>
      </c>
      <c r="BM27" s="25">
        <f t="shared" si="62"/>
        <v>0</v>
      </c>
      <c r="BN27" s="25">
        <f t="shared" ref="BN27:DJ27" si="63">+BN16/BN$17</f>
        <v>0</v>
      </c>
      <c r="BO27" s="25">
        <f t="shared" si="63"/>
        <v>0</v>
      </c>
      <c r="BP27" s="25">
        <f t="shared" si="63"/>
        <v>0</v>
      </c>
      <c r="BQ27" s="25">
        <f t="shared" si="63"/>
        <v>0</v>
      </c>
      <c r="BR27" s="25">
        <f t="shared" si="63"/>
        <v>0</v>
      </c>
      <c r="BS27" s="25">
        <f t="shared" si="63"/>
        <v>0</v>
      </c>
      <c r="BT27" s="25">
        <f t="shared" si="63"/>
        <v>0</v>
      </c>
      <c r="BU27" s="25">
        <f t="shared" si="63"/>
        <v>0</v>
      </c>
      <c r="BV27" s="25">
        <f t="shared" si="63"/>
        <v>0</v>
      </c>
      <c r="BW27" s="25">
        <f t="shared" si="63"/>
        <v>0</v>
      </c>
      <c r="BX27" s="25">
        <f t="shared" si="63"/>
        <v>0</v>
      </c>
      <c r="BY27" s="25">
        <f t="shared" si="63"/>
        <v>0</v>
      </c>
      <c r="BZ27" s="25">
        <f t="shared" si="63"/>
        <v>0</v>
      </c>
      <c r="CA27" s="25">
        <f t="shared" si="63"/>
        <v>0</v>
      </c>
      <c r="CB27" s="25">
        <f t="shared" si="63"/>
        <v>0</v>
      </c>
      <c r="CC27" s="25">
        <f t="shared" si="63"/>
        <v>0</v>
      </c>
      <c r="CD27" s="25">
        <f t="shared" si="63"/>
        <v>0</v>
      </c>
      <c r="CE27" s="25">
        <f t="shared" si="63"/>
        <v>0</v>
      </c>
      <c r="CF27" s="25">
        <f t="shared" si="63"/>
        <v>0</v>
      </c>
      <c r="CG27" s="25">
        <f t="shared" si="63"/>
        <v>0</v>
      </c>
      <c r="CH27" s="25">
        <f t="shared" si="63"/>
        <v>0</v>
      </c>
      <c r="CI27" s="25">
        <f t="shared" si="63"/>
        <v>0</v>
      </c>
      <c r="CJ27" s="25">
        <f t="shared" si="63"/>
        <v>0</v>
      </c>
      <c r="CK27" s="25">
        <f t="shared" si="63"/>
        <v>0</v>
      </c>
      <c r="CL27" s="25">
        <f t="shared" si="63"/>
        <v>0</v>
      </c>
      <c r="CM27" s="25">
        <f t="shared" si="63"/>
        <v>0</v>
      </c>
      <c r="CN27" s="25">
        <f t="shared" si="63"/>
        <v>0</v>
      </c>
      <c r="CO27" s="25">
        <f t="shared" si="63"/>
        <v>0</v>
      </c>
      <c r="CP27" s="25">
        <f t="shared" si="63"/>
        <v>0</v>
      </c>
      <c r="CQ27" s="25">
        <f t="shared" si="63"/>
        <v>0</v>
      </c>
      <c r="CR27" s="25">
        <f t="shared" si="63"/>
        <v>0</v>
      </c>
      <c r="CS27" s="25">
        <f t="shared" si="63"/>
        <v>0</v>
      </c>
      <c r="CT27" s="25">
        <f t="shared" si="63"/>
        <v>0</v>
      </c>
      <c r="CU27" s="25">
        <f t="shared" si="63"/>
        <v>0</v>
      </c>
      <c r="CV27" s="25">
        <f t="shared" si="63"/>
        <v>0</v>
      </c>
      <c r="CW27" s="25">
        <f t="shared" si="63"/>
        <v>0</v>
      </c>
      <c r="CX27" s="25">
        <f t="shared" si="63"/>
        <v>0</v>
      </c>
      <c r="CY27" s="25">
        <f t="shared" si="63"/>
        <v>0</v>
      </c>
      <c r="CZ27" s="25">
        <f t="shared" si="63"/>
        <v>0</v>
      </c>
      <c r="DA27" s="25">
        <f t="shared" si="63"/>
        <v>0</v>
      </c>
      <c r="DB27" s="25">
        <f t="shared" si="63"/>
        <v>0</v>
      </c>
      <c r="DC27" s="25">
        <f t="shared" si="63"/>
        <v>0</v>
      </c>
      <c r="DD27" s="25">
        <f t="shared" si="63"/>
        <v>0</v>
      </c>
      <c r="DE27" s="25">
        <f t="shared" si="63"/>
        <v>0</v>
      </c>
      <c r="DF27" s="25">
        <f t="shared" si="63"/>
        <v>0</v>
      </c>
      <c r="DG27" s="25">
        <f t="shared" si="63"/>
        <v>0</v>
      </c>
      <c r="DH27" s="25">
        <f t="shared" si="63"/>
        <v>0</v>
      </c>
      <c r="DI27" s="25">
        <f t="shared" si="63"/>
        <v>0</v>
      </c>
      <c r="DJ27" s="25">
        <f t="shared" si="63"/>
        <v>0</v>
      </c>
      <c r="DK27" s="25">
        <f t="shared" ref="DK27:DO27" si="64">+DK16/DK$17</f>
        <v>0</v>
      </c>
      <c r="DL27" s="25">
        <f t="shared" si="64"/>
        <v>0</v>
      </c>
      <c r="DM27" s="25">
        <f t="shared" si="64"/>
        <v>0</v>
      </c>
      <c r="DN27" s="25">
        <f t="shared" si="64"/>
        <v>0</v>
      </c>
      <c r="DO27" s="25">
        <f t="shared" si="64"/>
        <v>0</v>
      </c>
      <c r="DP27" s="25">
        <f t="shared" ref="DP27:DR27" si="65">+DP16/DP17</f>
        <v>0</v>
      </c>
      <c r="DQ27" s="25">
        <f t="shared" si="65"/>
        <v>0</v>
      </c>
      <c r="DR27" s="25">
        <f t="shared" si="65"/>
        <v>0</v>
      </c>
      <c r="DS27" s="25">
        <f t="shared" ref="DS27:FK27" si="66">+DS16/DS17</f>
        <v>0</v>
      </c>
      <c r="DT27" s="25">
        <f t="shared" si="66"/>
        <v>0</v>
      </c>
      <c r="DU27" s="25">
        <f t="shared" si="66"/>
        <v>0</v>
      </c>
      <c r="DV27" s="25">
        <f t="shared" si="66"/>
        <v>0</v>
      </c>
      <c r="DW27" s="25">
        <f t="shared" si="66"/>
        <v>0</v>
      </c>
      <c r="DX27" s="25">
        <f t="shared" si="66"/>
        <v>0</v>
      </c>
      <c r="DY27" s="25">
        <f t="shared" si="66"/>
        <v>0</v>
      </c>
      <c r="DZ27" s="25">
        <f t="shared" si="66"/>
        <v>0</v>
      </c>
      <c r="EA27" s="25">
        <f t="shared" si="66"/>
        <v>0</v>
      </c>
      <c r="EB27" s="25">
        <f t="shared" si="66"/>
        <v>0</v>
      </c>
      <c r="EC27" s="25">
        <f t="shared" si="66"/>
        <v>0</v>
      </c>
      <c r="ED27" s="25">
        <f t="shared" si="66"/>
        <v>0</v>
      </c>
      <c r="EE27" s="25">
        <f t="shared" si="66"/>
        <v>0</v>
      </c>
      <c r="EF27" s="25">
        <f t="shared" si="66"/>
        <v>0</v>
      </c>
      <c r="EG27" s="25">
        <f t="shared" si="66"/>
        <v>0</v>
      </c>
      <c r="EH27" s="25">
        <f t="shared" si="66"/>
        <v>0</v>
      </c>
      <c r="EI27" s="25">
        <f t="shared" si="66"/>
        <v>0</v>
      </c>
      <c r="EJ27" s="25">
        <f t="shared" si="66"/>
        <v>0</v>
      </c>
      <c r="EK27" s="25">
        <f t="shared" si="66"/>
        <v>0</v>
      </c>
      <c r="EL27" s="25">
        <f t="shared" si="66"/>
        <v>0</v>
      </c>
      <c r="EM27" s="25">
        <f t="shared" si="66"/>
        <v>0</v>
      </c>
      <c r="EN27" s="25">
        <f t="shared" si="66"/>
        <v>0</v>
      </c>
      <c r="EO27" s="25">
        <f t="shared" si="66"/>
        <v>0</v>
      </c>
      <c r="EP27" s="25">
        <f t="shared" si="66"/>
        <v>0</v>
      </c>
      <c r="EQ27" s="68">
        <f t="shared" si="66"/>
        <v>0</v>
      </c>
      <c r="ER27" s="68">
        <f t="shared" si="66"/>
        <v>0</v>
      </c>
      <c r="ES27" s="68">
        <f t="shared" si="66"/>
        <v>0</v>
      </c>
      <c r="ET27" s="80">
        <f t="shared" si="66"/>
        <v>0</v>
      </c>
      <c r="EU27" s="80">
        <f t="shared" si="66"/>
        <v>0</v>
      </c>
      <c r="EV27" s="80">
        <f t="shared" si="66"/>
        <v>0</v>
      </c>
      <c r="EW27" s="80">
        <f t="shared" si="66"/>
        <v>0</v>
      </c>
      <c r="EX27" s="80">
        <f t="shared" si="66"/>
        <v>0</v>
      </c>
      <c r="EY27" s="80">
        <f t="shared" si="66"/>
        <v>0</v>
      </c>
      <c r="EZ27" s="80">
        <f t="shared" si="66"/>
        <v>0</v>
      </c>
      <c r="FA27" s="80">
        <f t="shared" si="66"/>
        <v>0</v>
      </c>
      <c r="FB27" s="80">
        <f t="shared" si="66"/>
        <v>0</v>
      </c>
      <c r="FC27" s="80">
        <f t="shared" si="66"/>
        <v>0</v>
      </c>
      <c r="FD27" s="80">
        <f t="shared" si="66"/>
        <v>0</v>
      </c>
      <c r="FE27" s="80">
        <f t="shared" si="66"/>
        <v>0</v>
      </c>
      <c r="FF27" s="80">
        <f t="shared" si="66"/>
        <v>0</v>
      </c>
      <c r="FG27" s="80">
        <f t="shared" si="66"/>
        <v>0</v>
      </c>
      <c r="FH27" s="80">
        <f t="shared" si="66"/>
        <v>0</v>
      </c>
      <c r="FI27" s="80">
        <f t="shared" si="66"/>
        <v>0</v>
      </c>
      <c r="FJ27" s="80">
        <f t="shared" si="66"/>
        <v>0</v>
      </c>
      <c r="FK27" s="80">
        <f t="shared" si="66"/>
        <v>0</v>
      </c>
    </row>
    <row r="28" spans="1:167" s="74" customFormat="1" ht="24.95" customHeight="1" thickBot="1">
      <c r="A28" s="72"/>
      <c r="B28" s="72"/>
      <c r="C28" s="73">
        <f>SUM(C22:C27)</f>
        <v>1</v>
      </c>
      <c r="D28" s="73">
        <f t="shared" ref="D28:L28" si="67">SUM(D22:D27)</f>
        <v>1.0000000000000002</v>
      </c>
      <c r="E28" s="73">
        <f t="shared" si="67"/>
        <v>1</v>
      </c>
      <c r="F28" s="73">
        <f>SUM(F22:F27)</f>
        <v>0.99999999999999978</v>
      </c>
      <c r="G28" s="73">
        <f>SUM(G22:G27)</f>
        <v>1</v>
      </c>
      <c r="H28" s="73">
        <f>SUM(H22:H27)</f>
        <v>1</v>
      </c>
      <c r="I28" s="73">
        <f t="shared" si="67"/>
        <v>1</v>
      </c>
      <c r="J28" s="73">
        <f t="shared" si="67"/>
        <v>1</v>
      </c>
      <c r="K28" s="73">
        <f t="shared" si="67"/>
        <v>1</v>
      </c>
      <c r="L28" s="73">
        <f t="shared" si="67"/>
        <v>1</v>
      </c>
      <c r="M28" s="73">
        <f>SUM(M22:M27)</f>
        <v>0.99999999999999989</v>
      </c>
      <c r="N28" s="73">
        <f>SUM(N22:N27)</f>
        <v>1</v>
      </c>
      <c r="O28" s="73">
        <f>SUM(O22:O27)</f>
        <v>1</v>
      </c>
      <c r="P28" s="73">
        <f t="shared" ref="P28" si="68">SUM(P22:P27)</f>
        <v>1</v>
      </c>
      <c r="Q28" s="73">
        <f t="shared" ref="Q28:W28" si="69">SUM(Q22:Q27)</f>
        <v>1.0000000000000002</v>
      </c>
      <c r="R28" s="73">
        <f t="shared" si="69"/>
        <v>1</v>
      </c>
      <c r="S28" s="73">
        <f t="shared" si="69"/>
        <v>0.99999999999999989</v>
      </c>
      <c r="T28" s="73">
        <f t="shared" si="69"/>
        <v>1</v>
      </c>
      <c r="U28" s="73">
        <f t="shared" si="69"/>
        <v>1</v>
      </c>
      <c r="V28" s="73">
        <f t="shared" si="69"/>
        <v>0.99999999999999911</v>
      </c>
      <c r="W28" s="73">
        <f t="shared" si="69"/>
        <v>1</v>
      </c>
      <c r="X28" s="73">
        <f t="shared" ref="X28" si="70">SUM(X22:X27)</f>
        <v>1</v>
      </c>
      <c r="Y28" s="73">
        <f t="shared" ref="Y28" si="71">SUM(Y22:Y27)</f>
        <v>1</v>
      </c>
      <c r="Z28" s="73">
        <f t="shared" ref="Z28" si="72">SUM(Z22:Z27)</f>
        <v>1</v>
      </c>
      <c r="AA28" s="73">
        <f t="shared" ref="AA28" si="73">SUM(AA22:AA27)</f>
        <v>1</v>
      </c>
      <c r="AB28" s="73">
        <f t="shared" ref="AB28" si="74">SUM(AB22:AB27)</f>
        <v>1</v>
      </c>
      <c r="AC28" s="73">
        <f t="shared" ref="AC28" si="75">SUM(AC22:AC27)</f>
        <v>1</v>
      </c>
      <c r="AD28" s="73">
        <f t="shared" ref="AD28" si="76">SUM(AD22:AD27)</f>
        <v>1</v>
      </c>
      <c r="AE28" s="73">
        <f t="shared" ref="AE28" si="77">SUM(AE22:AE27)</f>
        <v>1</v>
      </c>
      <c r="AF28" s="73">
        <f t="shared" ref="AF28:AQ28" si="78">SUM(AF22:AF27)</f>
        <v>1</v>
      </c>
      <c r="AG28" s="73">
        <f t="shared" si="78"/>
        <v>1</v>
      </c>
      <c r="AH28" s="73">
        <f t="shared" si="78"/>
        <v>1</v>
      </c>
      <c r="AI28" s="73">
        <f t="shared" si="78"/>
        <v>1</v>
      </c>
      <c r="AJ28" s="73">
        <f t="shared" si="78"/>
        <v>1.0000000000000002</v>
      </c>
      <c r="AK28" s="73">
        <f t="shared" si="78"/>
        <v>1</v>
      </c>
      <c r="AL28" s="73">
        <f t="shared" si="78"/>
        <v>0.99999999999999989</v>
      </c>
      <c r="AM28" s="73">
        <f t="shared" si="78"/>
        <v>0.99999999999999989</v>
      </c>
      <c r="AN28" s="73">
        <f t="shared" si="78"/>
        <v>1</v>
      </c>
      <c r="AO28" s="73">
        <f t="shared" si="78"/>
        <v>1.0000000000000002</v>
      </c>
      <c r="AP28" s="73">
        <f>SUM(AP22:AP27)</f>
        <v>1</v>
      </c>
      <c r="AQ28" s="73">
        <f t="shared" si="78"/>
        <v>1</v>
      </c>
      <c r="AR28" s="73">
        <f t="shared" ref="AR28:AX28" si="79">SUM(AR22:AR27)</f>
        <v>1</v>
      </c>
      <c r="AS28" s="73">
        <f t="shared" si="79"/>
        <v>1</v>
      </c>
      <c r="AT28" s="73">
        <f t="shared" si="79"/>
        <v>0.99999999999999989</v>
      </c>
      <c r="AU28" s="73">
        <f t="shared" si="79"/>
        <v>1</v>
      </c>
      <c r="AV28" s="73">
        <f t="shared" si="79"/>
        <v>1</v>
      </c>
      <c r="AW28" s="73">
        <f t="shared" si="79"/>
        <v>1</v>
      </c>
      <c r="AX28" s="73">
        <f t="shared" si="79"/>
        <v>1</v>
      </c>
      <c r="AY28" s="73">
        <f>SUM(AY22:AY27)</f>
        <v>1</v>
      </c>
      <c r="AZ28" s="73">
        <f t="shared" ref="AZ28" si="80">SUM(AZ22:AZ27)</f>
        <v>1</v>
      </c>
      <c r="BA28" s="73">
        <f>SUM(BA22:BA27)</f>
        <v>0.99999999999999967</v>
      </c>
      <c r="BB28" s="73">
        <f>SUM(BB22:BB27)</f>
        <v>1</v>
      </c>
      <c r="BC28" s="73">
        <f t="shared" ref="BC28" si="81">SUM(BC22:BC27)</f>
        <v>1</v>
      </c>
      <c r="BD28" s="73">
        <f t="shared" ref="BD28:BO28" si="82">SUM(BD22:BD27)</f>
        <v>1.0000000000000002</v>
      </c>
      <c r="BE28" s="73">
        <f t="shared" si="82"/>
        <v>1</v>
      </c>
      <c r="BF28" s="73">
        <f t="shared" si="82"/>
        <v>1</v>
      </c>
      <c r="BG28" s="73">
        <f t="shared" si="82"/>
        <v>1</v>
      </c>
      <c r="BH28" s="73">
        <f t="shared" si="82"/>
        <v>1</v>
      </c>
      <c r="BI28" s="73">
        <f t="shared" si="82"/>
        <v>1</v>
      </c>
      <c r="BJ28" s="73">
        <f t="shared" si="82"/>
        <v>1</v>
      </c>
      <c r="BK28" s="73">
        <f t="shared" si="82"/>
        <v>1</v>
      </c>
      <c r="BL28" s="73">
        <f t="shared" si="82"/>
        <v>1</v>
      </c>
      <c r="BM28" s="73">
        <f t="shared" si="82"/>
        <v>1</v>
      </c>
      <c r="BN28" s="73">
        <f t="shared" si="82"/>
        <v>1</v>
      </c>
      <c r="BO28" s="73">
        <f t="shared" si="82"/>
        <v>1</v>
      </c>
      <c r="BP28" s="73">
        <f t="shared" ref="BP28" si="83">SUM(BP22:BP27)</f>
        <v>1</v>
      </c>
      <c r="BQ28" s="73">
        <f t="shared" ref="BQ28:BV28" si="84">SUM(BQ22:BQ27)</f>
        <v>1</v>
      </c>
      <c r="BR28" s="73">
        <f t="shared" si="84"/>
        <v>1</v>
      </c>
      <c r="BS28" s="73">
        <f t="shared" si="84"/>
        <v>0.99999999999999989</v>
      </c>
      <c r="BT28" s="73">
        <f t="shared" si="84"/>
        <v>1</v>
      </c>
      <c r="BU28" s="73">
        <f t="shared" si="84"/>
        <v>1</v>
      </c>
      <c r="BV28" s="73">
        <f t="shared" si="84"/>
        <v>0.99999999999999989</v>
      </c>
      <c r="BW28" s="73">
        <f t="shared" ref="BW28:BY28" si="85">SUM(BW22:BW27)</f>
        <v>1</v>
      </c>
      <c r="BX28" s="73">
        <f t="shared" si="85"/>
        <v>0.99999999999999989</v>
      </c>
      <c r="BY28" s="73">
        <f t="shared" si="85"/>
        <v>1</v>
      </c>
      <c r="BZ28" s="73">
        <f t="shared" ref="BZ28:CD28" si="86">SUM(BZ22:BZ27)</f>
        <v>1</v>
      </c>
      <c r="CA28" s="73">
        <f t="shared" si="86"/>
        <v>1</v>
      </c>
      <c r="CB28" s="73">
        <f t="shared" si="86"/>
        <v>0.99999999999999989</v>
      </c>
      <c r="CC28" s="73">
        <f t="shared" si="86"/>
        <v>1</v>
      </c>
      <c r="CD28" s="73">
        <f t="shared" si="86"/>
        <v>1</v>
      </c>
      <c r="CE28" s="73">
        <f t="shared" ref="CE28:CG28" si="87">SUM(CE22:CE27)</f>
        <v>1</v>
      </c>
      <c r="CF28" s="73">
        <f t="shared" si="87"/>
        <v>1</v>
      </c>
      <c r="CG28" s="73">
        <f t="shared" si="87"/>
        <v>1</v>
      </c>
      <c r="CH28" s="73">
        <f t="shared" ref="CH28:CI28" si="88">SUM(CH22:CH27)</f>
        <v>1</v>
      </c>
      <c r="CI28" s="73">
        <f t="shared" si="88"/>
        <v>1</v>
      </c>
      <c r="CJ28" s="73">
        <f t="shared" ref="CJ28:CK28" si="89">SUM(CJ22:CJ27)</f>
        <v>1</v>
      </c>
      <c r="CK28" s="73">
        <f t="shared" si="89"/>
        <v>1</v>
      </c>
      <c r="CL28" s="73">
        <f t="shared" ref="CL28:CQ28" si="90">SUM(CL22:CL27)</f>
        <v>1</v>
      </c>
      <c r="CM28" s="73">
        <f t="shared" si="90"/>
        <v>1</v>
      </c>
      <c r="CN28" s="73">
        <f t="shared" si="90"/>
        <v>0.99999999999999989</v>
      </c>
      <c r="CO28" s="73">
        <f t="shared" si="90"/>
        <v>1</v>
      </c>
      <c r="CP28" s="73">
        <f t="shared" si="90"/>
        <v>1</v>
      </c>
      <c r="CQ28" s="73">
        <f t="shared" si="90"/>
        <v>1</v>
      </c>
      <c r="CR28" s="73">
        <f t="shared" ref="CR28:CT28" si="91">SUM(CR22:CR27)</f>
        <v>0.99999999999999989</v>
      </c>
      <c r="CS28" s="73">
        <f t="shared" si="91"/>
        <v>1</v>
      </c>
      <c r="CT28" s="73">
        <f t="shared" si="91"/>
        <v>0.99999999999999989</v>
      </c>
      <c r="CU28" s="73">
        <f t="shared" ref="CU28:CZ28" si="92">SUM(CU22:CU27)</f>
        <v>0.99999999999999989</v>
      </c>
      <c r="CV28" s="73">
        <f t="shared" si="92"/>
        <v>1</v>
      </c>
      <c r="CW28" s="73">
        <f t="shared" si="92"/>
        <v>0.99999999999999989</v>
      </c>
      <c r="CX28" s="73">
        <f t="shared" si="92"/>
        <v>1</v>
      </c>
      <c r="CY28" s="73">
        <f t="shared" si="92"/>
        <v>0.99999999999999989</v>
      </c>
      <c r="CZ28" s="73">
        <f t="shared" si="92"/>
        <v>0.99999999999999989</v>
      </c>
      <c r="DA28" s="73">
        <f t="shared" ref="DA28:DF28" si="93">SUM(DA22:DA27)</f>
        <v>1</v>
      </c>
      <c r="DB28" s="73">
        <f t="shared" si="93"/>
        <v>1</v>
      </c>
      <c r="DC28" s="73">
        <f t="shared" si="93"/>
        <v>1</v>
      </c>
      <c r="DD28" s="73">
        <f t="shared" si="93"/>
        <v>1</v>
      </c>
      <c r="DE28" s="73">
        <f t="shared" si="93"/>
        <v>1</v>
      </c>
      <c r="DF28" s="73">
        <f t="shared" si="93"/>
        <v>0.99999999999999989</v>
      </c>
      <c r="DG28" s="73">
        <f t="shared" ref="DG28:DR28" si="94">SUM(DG22:DG27)</f>
        <v>1</v>
      </c>
      <c r="DH28" s="73">
        <f t="shared" si="94"/>
        <v>1</v>
      </c>
      <c r="DI28" s="73">
        <f t="shared" si="94"/>
        <v>1</v>
      </c>
      <c r="DJ28" s="73">
        <f t="shared" si="94"/>
        <v>1</v>
      </c>
      <c r="DK28" s="73">
        <f t="shared" si="94"/>
        <v>1</v>
      </c>
      <c r="DL28" s="73">
        <f t="shared" si="94"/>
        <v>1</v>
      </c>
      <c r="DM28" s="73">
        <f t="shared" si="94"/>
        <v>1</v>
      </c>
      <c r="DN28" s="73">
        <f t="shared" si="94"/>
        <v>1</v>
      </c>
      <c r="DO28" s="73">
        <f t="shared" si="94"/>
        <v>1</v>
      </c>
      <c r="DP28" s="73">
        <f t="shared" si="94"/>
        <v>1</v>
      </c>
      <c r="DQ28" s="73">
        <f t="shared" si="94"/>
        <v>1</v>
      </c>
      <c r="DR28" s="73">
        <f t="shared" si="94"/>
        <v>0.99999999999999989</v>
      </c>
      <c r="DS28" s="73">
        <f t="shared" ref="DS28:ED28" si="95">SUM(DS22:DS27)</f>
        <v>1</v>
      </c>
      <c r="DT28" s="73">
        <f t="shared" si="95"/>
        <v>0.99999999999999989</v>
      </c>
      <c r="DU28" s="73">
        <f t="shared" si="95"/>
        <v>1</v>
      </c>
      <c r="DV28" s="73">
        <f t="shared" si="95"/>
        <v>1</v>
      </c>
      <c r="DW28" s="73">
        <f t="shared" si="95"/>
        <v>1</v>
      </c>
      <c r="DX28" s="73">
        <f t="shared" si="95"/>
        <v>1</v>
      </c>
      <c r="DY28" s="73">
        <f t="shared" si="95"/>
        <v>1</v>
      </c>
      <c r="DZ28" s="73">
        <f t="shared" si="95"/>
        <v>1</v>
      </c>
      <c r="EA28" s="73">
        <f t="shared" si="95"/>
        <v>1</v>
      </c>
      <c r="EB28" s="73">
        <f t="shared" si="95"/>
        <v>0.99999999999999989</v>
      </c>
      <c r="EC28" s="73">
        <f t="shared" si="95"/>
        <v>1</v>
      </c>
      <c r="ED28" s="73">
        <f t="shared" si="95"/>
        <v>1</v>
      </c>
      <c r="EE28" s="73">
        <f t="shared" ref="EE28:EY28" si="96">SUM(EE22:EE27)</f>
        <v>1</v>
      </c>
      <c r="EF28" s="73">
        <f t="shared" si="96"/>
        <v>1</v>
      </c>
      <c r="EG28" s="73">
        <f t="shared" si="96"/>
        <v>1</v>
      </c>
      <c r="EH28" s="73">
        <f t="shared" si="96"/>
        <v>1</v>
      </c>
      <c r="EI28" s="73">
        <f t="shared" si="96"/>
        <v>0.99999999999999989</v>
      </c>
      <c r="EJ28" s="73">
        <f t="shared" si="96"/>
        <v>1</v>
      </c>
      <c r="EK28" s="73">
        <f t="shared" si="96"/>
        <v>1</v>
      </c>
      <c r="EL28" s="73">
        <f t="shared" si="96"/>
        <v>1</v>
      </c>
      <c r="EM28" s="73">
        <f t="shared" si="96"/>
        <v>1.0000000000000002</v>
      </c>
      <c r="EN28" s="73">
        <f t="shared" si="96"/>
        <v>1</v>
      </c>
      <c r="EO28" s="73">
        <f t="shared" si="96"/>
        <v>0.99999999999999989</v>
      </c>
      <c r="EP28" s="73">
        <f t="shared" si="96"/>
        <v>1</v>
      </c>
      <c r="EQ28" s="69">
        <f t="shared" si="96"/>
        <v>0.99999999999999989</v>
      </c>
      <c r="ER28" s="69">
        <f t="shared" si="96"/>
        <v>1</v>
      </c>
      <c r="ES28" s="69">
        <f t="shared" si="96"/>
        <v>0.99999999999999989</v>
      </c>
      <c r="ET28" s="81">
        <f t="shared" si="96"/>
        <v>1</v>
      </c>
      <c r="EU28" s="81">
        <f t="shared" si="96"/>
        <v>0.99999999999999978</v>
      </c>
      <c r="EV28" s="81">
        <f t="shared" si="96"/>
        <v>1</v>
      </c>
      <c r="EW28" s="81">
        <f t="shared" si="96"/>
        <v>1</v>
      </c>
      <c r="EX28" s="81">
        <f t="shared" si="96"/>
        <v>1</v>
      </c>
      <c r="EY28" s="81">
        <f t="shared" si="96"/>
        <v>0.99999999999999989</v>
      </c>
      <c r="EZ28" s="81">
        <f t="shared" ref="EZ28:FE28" si="97">SUM(EZ22:EZ27)</f>
        <v>1</v>
      </c>
      <c r="FA28" s="81">
        <f t="shared" si="97"/>
        <v>1</v>
      </c>
      <c r="FB28" s="81">
        <f t="shared" si="97"/>
        <v>1</v>
      </c>
      <c r="FC28" s="81">
        <f t="shared" si="97"/>
        <v>1</v>
      </c>
      <c r="FD28" s="81">
        <f t="shared" si="97"/>
        <v>1</v>
      </c>
      <c r="FE28" s="81">
        <f t="shared" si="97"/>
        <v>1</v>
      </c>
      <c r="FF28" s="81">
        <f t="shared" ref="FF28:FK28" si="98">SUM(FF22:FF27)</f>
        <v>1</v>
      </c>
      <c r="FG28" s="81">
        <f t="shared" si="98"/>
        <v>1</v>
      </c>
      <c r="FH28" s="81">
        <f t="shared" si="98"/>
        <v>1</v>
      </c>
      <c r="FI28" s="81">
        <f t="shared" si="98"/>
        <v>1</v>
      </c>
      <c r="FJ28" s="81">
        <f t="shared" si="98"/>
        <v>1</v>
      </c>
      <c r="FK28" s="81">
        <f t="shared" si="98"/>
        <v>1</v>
      </c>
    </row>
    <row r="29" spans="1:167" ht="9" customHeight="1" thickTop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167" ht="15.7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167" ht="15.7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167" ht="26.25">
      <c r="A32" s="2"/>
      <c r="B32" s="3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6.25">
      <c r="A33" s="2"/>
      <c r="B33" s="3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6.25">
      <c r="A34" s="2"/>
      <c r="B34" s="3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6.25">
      <c r="A35" s="2"/>
      <c r="B35" s="3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6.25">
      <c r="A36" s="5"/>
      <c r="C36" s="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6.25">
      <c r="A37" s="5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6.25">
      <c r="A38" s="5"/>
      <c r="C38" s="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6.25">
      <c r="A39" s="5"/>
      <c r="C39" s="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26.25">
      <c r="A40" s="5"/>
      <c r="C40" s="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80" spans="1:6" ht="27" customHeight="1">
      <c r="A80" s="32" t="s">
        <v>20</v>
      </c>
      <c r="B80" s="33"/>
      <c r="C80" s="87" t="s">
        <v>23</v>
      </c>
      <c r="D80" s="87"/>
      <c r="E80" s="87"/>
      <c r="F80" s="35"/>
    </row>
    <row r="81" spans="1:6" ht="27" customHeight="1">
      <c r="A81" s="32" t="s">
        <v>21</v>
      </c>
      <c r="B81" s="33"/>
      <c r="C81" s="86" t="s">
        <v>24</v>
      </c>
      <c r="D81" s="86"/>
      <c r="E81" s="34"/>
      <c r="F81" s="35"/>
    </row>
    <row r="82" spans="1:6" ht="13.5" customHeight="1">
      <c r="A82" s="33"/>
      <c r="B82" s="33"/>
      <c r="C82" s="86" t="s">
        <v>22</v>
      </c>
      <c r="D82" s="86"/>
      <c r="E82" s="34"/>
      <c r="F82" s="35"/>
    </row>
    <row r="83" spans="1:6" ht="27">
      <c r="A83" s="33"/>
      <c r="B83" s="33"/>
      <c r="C83" s="32" t="s">
        <v>26</v>
      </c>
      <c r="D83" s="36"/>
      <c r="E83" s="34"/>
      <c r="F83" s="35"/>
    </row>
    <row r="84" spans="1:6" ht="12.75" customHeight="1">
      <c r="A84" s="37"/>
      <c r="B84" s="37"/>
      <c r="C84" s="82" t="s">
        <v>25</v>
      </c>
      <c r="D84" s="83"/>
      <c r="E84" s="38"/>
      <c r="F84" s="39"/>
    </row>
  </sheetData>
  <mergeCells count="7">
    <mergeCell ref="C84:D84"/>
    <mergeCell ref="C2:BW2"/>
    <mergeCell ref="C3:BW3"/>
    <mergeCell ref="C6:BW6"/>
    <mergeCell ref="C81:D81"/>
    <mergeCell ref="C82:D82"/>
    <mergeCell ref="C80:E80"/>
  </mergeCells>
  <phoneticPr fontId="0" type="noConversion"/>
  <hyperlinks>
    <hyperlink ref="C84" r:id="rId1"/>
  </hyperlinks>
  <pageMargins left="0.39370078740157483" right="0.39370078740157483" top="0.39370078740157483" bottom="0.39370078740157483" header="0" footer="0"/>
  <pageSetup scale="29" orientation="landscape" verticalDpi="2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ESTUDIOS CHURUBUSCO AZTECA,SA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MIGUEL ANGEL NAVA HERNANDEZ</dc:creator>
  <cp:lastModifiedBy>C.P. Miguel Angel Nava Hernandez</cp:lastModifiedBy>
  <cp:lastPrinted>2012-07-06T19:25:57Z</cp:lastPrinted>
  <dcterms:created xsi:type="dcterms:W3CDTF">2008-10-28T19:34:24Z</dcterms:created>
  <dcterms:modified xsi:type="dcterms:W3CDTF">2024-10-18T20:31:29Z</dcterms:modified>
</cp:coreProperties>
</file>